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Служба по тарифам\Тарифы\Раскрытие информации\Передача электроэнергии\Предложение на 2020 год\Формы от энергоресурсов\"/>
    </mc:Choice>
  </mc:AlternateContent>
  <bookViews>
    <workbookView xWindow="0" yWindow="0" windowWidth="28800" windowHeight="12285"/>
  </bookViews>
  <sheets>
    <sheet name="Баланс ЭЭ" sheetId="2" r:id="rId1"/>
    <sheet name="Баланс мощности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5" i="2" l="1"/>
  <c r="AF95" i="2"/>
  <c r="AE95" i="2"/>
  <c r="AD95" i="2"/>
  <c r="AB95" i="2"/>
  <c r="AA95" i="2"/>
  <c r="Z95" i="2"/>
  <c r="Y95" i="2"/>
  <c r="W95" i="2"/>
  <c r="V95" i="2"/>
  <c r="U95" i="2"/>
  <c r="T95" i="2"/>
  <c r="R95" i="2"/>
  <c r="P95" i="2"/>
  <c r="M95" i="2"/>
  <c r="K95" i="2"/>
  <c r="H95" i="2"/>
  <c r="G95" i="2"/>
  <c r="F95" i="2"/>
  <c r="E95" i="2"/>
  <c r="D95" i="2"/>
  <c r="AC93" i="2"/>
  <c r="X93" i="2"/>
  <c r="S93" i="2"/>
  <c r="N93" i="2"/>
  <c r="I93" i="2"/>
  <c r="D93" i="2"/>
  <c r="AC92" i="2"/>
  <c r="X92" i="2"/>
  <c r="S92" i="2"/>
  <c r="L92" i="2"/>
  <c r="Q92" i="2" s="1"/>
  <c r="N92" i="2" s="1"/>
  <c r="I92" i="2"/>
  <c r="D92" i="2"/>
  <c r="AC91" i="2"/>
  <c r="X91" i="2"/>
  <c r="S91" i="2"/>
  <c r="L91" i="2"/>
  <c r="I91" i="2"/>
  <c r="D91" i="2"/>
  <c r="AC90" i="2"/>
  <c r="X90" i="2"/>
  <c r="X95" i="2" s="1"/>
  <c r="S90" i="2"/>
  <c r="S95" i="2" s="1"/>
  <c r="P90" i="2"/>
  <c r="J90" i="2"/>
  <c r="D90" i="2"/>
  <c r="AF85" i="2"/>
  <c r="X85" i="2"/>
  <c r="R85" i="2"/>
  <c r="Q85" i="2"/>
  <c r="P85" i="2"/>
  <c r="O85" i="2"/>
  <c r="M85" i="2"/>
  <c r="L85" i="2"/>
  <c r="K85" i="2"/>
  <c r="J85" i="2"/>
  <c r="H85" i="2"/>
  <c r="G85" i="2"/>
  <c r="F85" i="2"/>
  <c r="E85" i="2"/>
  <c r="AC83" i="2"/>
  <c r="X83" i="2"/>
  <c r="S83" i="2"/>
  <c r="N83" i="2"/>
  <c r="I83" i="2"/>
  <c r="D83" i="2"/>
  <c r="AC82" i="2"/>
  <c r="X82" i="2"/>
  <c r="S82" i="2"/>
  <c r="N82" i="2"/>
  <c r="I82" i="2"/>
  <c r="D82" i="2"/>
  <c r="D85" i="2" s="1"/>
  <c r="AC81" i="2"/>
  <c r="X81" i="2"/>
  <c r="S81" i="2"/>
  <c r="N81" i="2"/>
  <c r="I81" i="2"/>
  <c r="D81" i="2"/>
  <c r="AF80" i="2"/>
  <c r="AB80" i="2"/>
  <c r="AA80" i="2"/>
  <c r="Z80" i="2"/>
  <c r="Z85" i="2" s="1"/>
  <c r="Y80" i="2"/>
  <c r="X80" i="2"/>
  <c r="N80" i="2"/>
  <c r="I80" i="2"/>
  <c r="I85" i="2" s="1"/>
  <c r="D80" i="2"/>
  <c r="AG75" i="2"/>
  <c r="AE75" i="2"/>
  <c r="AD75" i="2"/>
  <c r="AB75" i="2"/>
  <c r="Z75" i="2"/>
  <c r="Y75" i="2"/>
  <c r="W75" i="2"/>
  <c r="U75" i="2"/>
  <c r="T75" i="2"/>
  <c r="R75" i="2"/>
  <c r="P75" i="2"/>
  <c r="O75" i="2"/>
  <c r="M75" i="2"/>
  <c r="L75" i="2"/>
  <c r="K75" i="2"/>
  <c r="J75" i="2"/>
  <c r="H75" i="2"/>
  <c r="G75" i="2"/>
  <c r="F75" i="2"/>
  <c r="E75" i="2"/>
  <c r="AC73" i="2"/>
  <c r="X73" i="2"/>
  <c r="S73" i="2"/>
  <c r="N73" i="2"/>
  <c r="I73" i="2"/>
  <c r="D73" i="2"/>
  <c r="AC72" i="2"/>
  <c r="X72" i="2"/>
  <c r="S72" i="2"/>
  <c r="N72" i="2"/>
  <c r="I72" i="2"/>
  <c r="D72" i="2"/>
  <c r="Q71" i="2"/>
  <c r="N71" i="2" s="1"/>
  <c r="I71" i="2"/>
  <c r="D71" i="2"/>
  <c r="Q70" i="2"/>
  <c r="N70" i="2"/>
  <c r="N75" i="2" s="1"/>
  <c r="I70" i="2"/>
  <c r="D70" i="2"/>
  <c r="AG65" i="2"/>
  <c r="AF65" i="2"/>
  <c r="AE65" i="2"/>
  <c r="AD65" i="2"/>
  <c r="AB65" i="2"/>
  <c r="W65" i="2" s="1"/>
  <c r="AA65" i="2"/>
  <c r="Z65" i="2"/>
  <c r="Y65" i="2"/>
  <c r="X65" i="2"/>
  <c r="U65" i="2"/>
  <c r="T65" i="2"/>
  <c r="R65" i="2"/>
  <c r="Q65" i="2"/>
  <c r="P65" i="2"/>
  <c r="O65" i="2"/>
  <c r="M65" i="2"/>
  <c r="L65" i="2"/>
  <c r="K65" i="2"/>
  <c r="J65" i="2"/>
  <c r="H65" i="2"/>
  <c r="E65" i="2"/>
  <c r="AF64" i="2"/>
  <c r="AE64" i="2"/>
  <c r="AD64" i="2"/>
  <c r="AA64" i="2"/>
  <c r="Z64" i="2"/>
  <c r="Y64" i="2"/>
  <c r="AG45" i="2"/>
  <c r="AF45" i="2"/>
  <c r="AE45" i="2"/>
  <c r="AD45" i="2"/>
  <c r="AC45" i="2" s="1"/>
  <c r="AB45" i="2"/>
  <c r="Z45" i="2"/>
  <c r="U45" i="2"/>
  <c r="R45" i="2"/>
  <c r="Q45" i="2"/>
  <c r="Q43" i="2" s="1"/>
  <c r="G43" i="2" s="1"/>
  <c r="P45" i="2"/>
  <c r="O45" i="2"/>
  <c r="N45" i="2" s="1"/>
  <c r="M45" i="2"/>
  <c r="L45" i="2"/>
  <c r="K45" i="2"/>
  <c r="J45" i="2"/>
  <c r="I45" i="2"/>
  <c r="D45" i="2" s="1"/>
  <c r="G45" i="2"/>
  <c r="F45" i="2"/>
  <c r="AF44" i="2"/>
  <c r="AF43" i="2" s="1"/>
  <c r="AE44" i="2"/>
  <c r="U44" i="2" s="1"/>
  <c r="AD44" i="2"/>
  <c r="AA44" i="2"/>
  <c r="Z44" i="2"/>
  <c r="Y44" i="2"/>
  <c r="T44" i="2" s="1"/>
  <c r="R44" i="2"/>
  <c r="Q44" i="2"/>
  <c r="P44" i="2"/>
  <c r="P43" i="2" s="1"/>
  <c r="O44" i="2"/>
  <c r="N44" i="2" s="1"/>
  <c r="N43" i="2" s="1"/>
  <c r="M44" i="2"/>
  <c r="H44" i="2" s="1"/>
  <c r="L44" i="2"/>
  <c r="L43" i="2" s="1"/>
  <c r="K44" i="2"/>
  <c r="J44" i="2"/>
  <c r="G44" i="2"/>
  <c r="E44" i="2"/>
  <c r="AE43" i="2"/>
  <c r="AD43" i="2"/>
  <c r="Z43" i="2"/>
  <c r="U43" i="2" s="1"/>
  <c r="Y43" i="2"/>
  <c r="T43" i="2" s="1"/>
  <c r="R43" i="2"/>
  <c r="O43" i="2"/>
  <c r="J43" i="2"/>
  <c r="E43" i="2"/>
  <c r="AG42" i="2"/>
  <c r="AF42" i="2"/>
  <c r="AE42" i="2"/>
  <c r="AD42" i="2"/>
  <c r="AC42" i="2"/>
  <c r="AB42" i="2"/>
  <c r="W42" i="2" s="1"/>
  <c r="AA42" i="2"/>
  <c r="Z42" i="2"/>
  <c r="Y42" i="2"/>
  <c r="X42" i="2" s="1"/>
  <c r="S42" i="2" s="1"/>
  <c r="U42" i="2"/>
  <c r="R42" i="2"/>
  <c r="Q42" i="2"/>
  <c r="P42" i="2"/>
  <c r="O42" i="2"/>
  <c r="M42" i="2"/>
  <c r="L42" i="2"/>
  <c r="K42" i="2"/>
  <c r="J42" i="2"/>
  <c r="H42" i="2"/>
  <c r="G42" i="2"/>
  <c r="E42" i="2"/>
  <c r="AF41" i="2"/>
  <c r="AE41" i="2"/>
  <c r="AD41" i="2"/>
  <c r="AA41" i="2"/>
  <c r="Z41" i="2"/>
  <c r="Y41" i="2"/>
  <c r="AC22" i="2"/>
  <c r="X22" i="2"/>
  <c r="S22" i="2" s="1"/>
  <c r="W22" i="2"/>
  <c r="V22" i="2"/>
  <c r="U22" i="2"/>
  <c r="T22" i="2"/>
  <c r="N22" i="2"/>
  <c r="D22" i="2" s="1"/>
  <c r="I22" i="2"/>
  <c r="H22" i="2"/>
  <c r="G22" i="2"/>
  <c r="F22" i="2"/>
  <c r="E22" i="2"/>
  <c r="AC21" i="2"/>
  <c r="AA21" i="2"/>
  <c r="AA19" i="2" s="1"/>
  <c r="V19" i="2" s="1"/>
  <c r="Y21" i="2"/>
  <c r="Y45" i="2" s="1"/>
  <c r="W21" i="2"/>
  <c r="W45" i="2" s="1"/>
  <c r="U21" i="2"/>
  <c r="T21" i="2"/>
  <c r="T45" i="2" s="1"/>
  <c r="N21" i="2"/>
  <c r="D21" i="2" s="1"/>
  <c r="I21" i="2"/>
  <c r="H21" i="2"/>
  <c r="G21" i="2"/>
  <c r="F21" i="2"/>
  <c r="E21" i="2"/>
  <c r="V20" i="2"/>
  <c r="U20" i="2"/>
  <c r="T20" i="2"/>
  <c r="N20" i="2"/>
  <c r="D20" i="2" s="1"/>
  <c r="I20" i="2"/>
  <c r="H20" i="2"/>
  <c r="G20" i="2"/>
  <c r="F20" i="2"/>
  <c r="E20" i="2"/>
  <c r="AF19" i="2"/>
  <c r="AE19" i="2"/>
  <c r="AD19" i="2"/>
  <c r="Z19" i="2"/>
  <c r="U19" i="2" s="1"/>
  <c r="Y19" i="2"/>
  <c r="T19" i="2"/>
  <c r="R19" i="2"/>
  <c r="Q19" i="2"/>
  <c r="P19" i="2"/>
  <c r="F19" i="2" s="1"/>
  <c r="O19" i="2"/>
  <c r="M19" i="2"/>
  <c r="L19" i="2"/>
  <c r="G19" i="2" s="1"/>
  <c r="K19" i="2"/>
  <c r="J19" i="2"/>
  <c r="E19" i="2" s="1"/>
  <c r="H19" i="2"/>
  <c r="AC18" i="2"/>
  <c r="X18" i="2"/>
  <c r="W18" i="2"/>
  <c r="V18" i="2"/>
  <c r="U18" i="2"/>
  <c r="T18" i="2"/>
  <c r="S18" i="2"/>
  <c r="N18" i="2"/>
  <c r="D18" i="2" s="1"/>
  <c r="I18" i="2"/>
  <c r="H18" i="2"/>
  <c r="G18" i="2"/>
  <c r="F18" i="2"/>
  <c r="E18" i="2"/>
  <c r="AE16" i="2"/>
  <c r="N16" i="2"/>
  <c r="N17" i="2" s="1"/>
  <c r="I16" i="2"/>
  <c r="H16" i="2"/>
  <c r="G16" i="2"/>
  <c r="F16" i="2"/>
  <c r="E16" i="2"/>
  <c r="D16" i="2"/>
  <c r="AC15" i="2"/>
  <c r="X15" i="2"/>
  <c r="S15" i="2" s="1"/>
  <c r="W15" i="2"/>
  <c r="V15" i="2"/>
  <c r="U15" i="2"/>
  <c r="T15" i="2"/>
  <c r="N15" i="2"/>
  <c r="I15" i="2"/>
  <c r="D15" i="2" s="1"/>
  <c r="H15" i="2"/>
  <c r="G15" i="2"/>
  <c r="F15" i="2"/>
  <c r="E15" i="2"/>
  <c r="AC14" i="2"/>
  <c r="X14" i="2"/>
  <c r="W14" i="2"/>
  <c r="V14" i="2"/>
  <c r="U14" i="2"/>
  <c r="T14" i="2"/>
  <c r="S14" i="2"/>
  <c r="N14" i="2"/>
  <c r="I14" i="2"/>
  <c r="H14" i="2"/>
  <c r="G14" i="2"/>
  <c r="F14" i="2"/>
  <c r="E14" i="2"/>
  <c r="D14" i="2"/>
  <c r="AC13" i="2"/>
  <c r="AC6" i="2" s="1"/>
  <c r="X13" i="2"/>
  <c r="W13" i="2"/>
  <c r="V13" i="2"/>
  <c r="U13" i="2"/>
  <c r="T13" i="2"/>
  <c r="N13" i="2"/>
  <c r="I13" i="2"/>
  <c r="H13" i="2"/>
  <c r="G13" i="2"/>
  <c r="F13" i="2"/>
  <c r="E13" i="2"/>
  <c r="D13" i="2"/>
  <c r="AC12" i="2"/>
  <c r="X12" i="2"/>
  <c r="S12" i="2" s="1"/>
  <c r="W12" i="2"/>
  <c r="V12" i="2"/>
  <c r="U12" i="2"/>
  <c r="T12" i="2"/>
  <c r="N12" i="2"/>
  <c r="D12" i="2" s="1"/>
  <c r="I12" i="2"/>
  <c r="H12" i="2"/>
  <c r="G12" i="2"/>
  <c r="F12" i="2"/>
  <c r="E12" i="2"/>
  <c r="W10" i="2"/>
  <c r="H10" i="2"/>
  <c r="W9" i="2"/>
  <c r="U9" i="2"/>
  <c r="Q9" i="2"/>
  <c r="H9" i="2"/>
  <c r="F9" i="2"/>
  <c r="AE7" i="2"/>
  <c r="Z7" i="2"/>
  <c r="U7" i="2" s="1"/>
  <c r="P7" i="2"/>
  <c r="K7" i="2"/>
  <c r="F7" i="2"/>
  <c r="AE6" i="2"/>
  <c r="AD6" i="2"/>
  <c r="T6" i="2" s="1"/>
  <c r="Z6" i="2"/>
  <c r="Y6" i="2"/>
  <c r="X6" i="2"/>
  <c r="S6" i="2" s="1"/>
  <c r="P6" i="2"/>
  <c r="O6" i="2"/>
  <c r="N6" i="2"/>
  <c r="K6" i="2"/>
  <c r="J6" i="2"/>
  <c r="F6" i="2"/>
  <c r="AC16" i="2" l="1"/>
  <c r="Q10" i="2"/>
  <c r="F42" i="2"/>
  <c r="I42" i="2"/>
  <c r="Z16" i="2"/>
  <c r="U16" i="2" s="1"/>
  <c r="F17" i="2"/>
  <c r="N19" i="2"/>
  <c r="X21" i="2"/>
  <c r="S21" i="2" s="1"/>
  <c r="O23" i="2"/>
  <c r="W80" i="2"/>
  <c r="W85" i="2" s="1"/>
  <c r="AG80" i="2"/>
  <c r="AG85" i="2" s="1"/>
  <c r="E6" i="2"/>
  <c r="I6" i="2"/>
  <c r="U6" i="2"/>
  <c r="Y16" i="2"/>
  <c r="Q7" i="2"/>
  <c r="Q6" i="2" s="1"/>
  <c r="S13" i="2"/>
  <c r="X16" i="2"/>
  <c r="AD16" i="2"/>
  <c r="AF9" i="2" s="1"/>
  <c r="J17" i="2"/>
  <c r="P17" i="2"/>
  <c r="X20" i="2"/>
  <c r="J23" i="2"/>
  <c r="P23" i="2"/>
  <c r="F44" i="2"/>
  <c r="I44" i="2"/>
  <c r="K43" i="2"/>
  <c r="F43" i="2" s="1"/>
  <c r="AA43" i="2"/>
  <c r="V43" i="2" s="1"/>
  <c r="AD80" i="2"/>
  <c r="Y85" i="2"/>
  <c r="T80" i="2"/>
  <c r="Q91" i="2"/>
  <c r="L95" i="2"/>
  <c r="V21" i="2"/>
  <c r="V45" i="2" s="1"/>
  <c r="H45" i="2"/>
  <c r="M43" i="2"/>
  <c r="AA45" i="2"/>
  <c r="V65" i="2"/>
  <c r="AC65" i="2"/>
  <c r="O90" i="2"/>
  <c r="J95" i="2"/>
  <c r="I90" i="2"/>
  <c r="I95" i="2" s="1"/>
  <c r="K17" i="2"/>
  <c r="O17" i="2"/>
  <c r="AF10" i="2"/>
  <c r="L9" i="2"/>
  <c r="L10" i="2"/>
  <c r="T42" i="2"/>
  <c r="G65" i="2"/>
  <c r="I65" i="2"/>
  <c r="S65" i="2"/>
  <c r="AB85" i="2"/>
  <c r="X45" i="2"/>
  <c r="S45" i="2" s="1"/>
  <c r="V42" i="2"/>
  <c r="E45" i="2"/>
  <c r="Q75" i="2"/>
  <c r="AA70" i="2"/>
  <c r="N85" i="2"/>
  <c r="AC95" i="2"/>
  <c r="N42" i="2"/>
  <c r="V44" i="2"/>
  <c r="D75" i="2"/>
  <c r="N65" i="2"/>
  <c r="F65" i="2"/>
  <c r="I75" i="2"/>
  <c r="V80" i="2"/>
  <c r="V85" i="2" s="1"/>
  <c r="AA71" i="2"/>
  <c r="AE80" i="2"/>
  <c r="AA85" i="2"/>
  <c r="AF7" i="2" l="1"/>
  <c r="AF6" i="2" s="1"/>
  <c r="Q95" i="2"/>
  <c r="N91" i="2"/>
  <c r="Q17" i="2"/>
  <c r="R11" i="2"/>
  <c r="Q23" i="2" s="1"/>
  <c r="AC39" i="2"/>
  <c r="AE85" i="2"/>
  <c r="U80" i="2"/>
  <c r="U85" i="2" s="1"/>
  <c r="S80" i="2"/>
  <c r="S85" i="2" s="1"/>
  <c r="T85" i="2"/>
  <c r="AB20" i="2"/>
  <c r="X39" i="2"/>
  <c r="S39" i="2" s="1"/>
  <c r="S16" i="2"/>
  <c r="S17" i="2" s="1"/>
  <c r="AA9" i="2"/>
  <c r="Y23" i="2" s="1"/>
  <c r="T16" i="2"/>
  <c r="I19" i="2"/>
  <c r="D19" i="2" s="1"/>
  <c r="I17" i="2"/>
  <c r="D6" i="2"/>
  <c r="D17" i="2" s="1"/>
  <c r="AA10" i="2"/>
  <c r="K64" i="2"/>
  <c r="K41" i="2"/>
  <c r="X71" i="2"/>
  <c r="V71" i="2"/>
  <c r="S71" i="2" s="1"/>
  <c r="AF71" i="2"/>
  <c r="AC71" i="2" s="1"/>
  <c r="K23" i="2"/>
  <c r="G10" i="2"/>
  <c r="F23" i="2" s="1"/>
  <c r="N90" i="2"/>
  <c r="N95" i="2" s="1"/>
  <c r="O95" i="2"/>
  <c r="H43" i="2"/>
  <c r="D44" i="2"/>
  <c r="I43" i="2"/>
  <c r="AD23" i="2"/>
  <c r="P64" i="2"/>
  <c r="P41" i="2"/>
  <c r="E17" i="2"/>
  <c r="U17" i="2"/>
  <c r="D42" i="2"/>
  <c r="AC19" i="2"/>
  <c r="AF70" i="2"/>
  <c r="V70" i="2" s="1"/>
  <c r="AA75" i="2"/>
  <c r="X70" i="2"/>
  <c r="X75" i="2" s="1"/>
  <c r="O64" i="2"/>
  <c r="O41" i="2"/>
  <c r="D65" i="2"/>
  <c r="G9" i="2"/>
  <c r="E23" i="2" s="1"/>
  <c r="L7" i="2"/>
  <c r="AD85" i="2"/>
  <c r="AC80" i="2"/>
  <c r="AC85" i="2" s="1"/>
  <c r="J64" i="2"/>
  <c r="J41" i="2"/>
  <c r="X19" i="2"/>
  <c r="S19" i="2" s="1"/>
  <c r="AC20" i="2"/>
  <c r="AG20" i="2" s="1"/>
  <c r="AE23" i="2"/>
  <c r="S70" i="2" l="1"/>
  <c r="S75" i="2" s="1"/>
  <c r="V75" i="2"/>
  <c r="AG44" i="2"/>
  <c r="AG19" i="2"/>
  <c r="AG6" i="2" s="1"/>
  <c r="AF16" i="2"/>
  <c r="AG16" i="2" s="1"/>
  <c r="S20" i="2"/>
  <c r="Q64" i="2"/>
  <c r="Q41" i="2"/>
  <c r="AF75" i="2"/>
  <c r="AC70" i="2"/>
  <c r="AC75" i="2" s="1"/>
  <c r="AA7" i="2"/>
  <c r="V10" i="2"/>
  <c r="U23" i="2" s="1"/>
  <c r="Z23" i="2"/>
  <c r="AB19" i="2"/>
  <c r="AB44" i="2"/>
  <c r="W20" i="2"/>
  <c r="V9" i="2"/>
  <c r="G7" i="2"/>
  <c r="L6" i="2"/>
  <c r="D43" i="2"/>
  <c r="T17" i="2"/>
  <c r="T23" i="2"/>
  <c r="R7" i="2"/>
  <c r="R6" i="2" s="1"/>
  <c r="AG23" i="2" l="1"/>
  <c r="AG11" i="2"/>
  <c r="AG17" i="2"/>
  <c r="AB43" i="2"/>
  <c r="W44" i="2"/>
  <c r="X44" i="2"/>
  <c r="AA6" i="2"/>
  <c r="V7" i="2"/>
  <c r="AG43" i="2"/>
  <c r="AC44" i="2"/>
  <c r="AC43" i="2" s="1"/>
  <c r="R23" i="2"/>
  <c r="R17" i="2"/>
  <c r="W19" i="2"/>
  <c r="G6" i="2"/>
  <c r="M11" i="2"/>
  <c r="L17" i="2"/>
  <c r="AF23" i="2"/>
  <c r="AG64" i="2" l="1"/>
  <c r="AG41" i="2"/>
  <c r="R64" i="2"/>
  <c r="R41" i="2"/>
  <c r="R30" i="2" s="1"/>
  <c r="AA16" i="2"/>
  <c r="V6" i="2"/>
  <c r="X43" i="2"/>
  <c r="S44" i="2"/>
  <c r="G17" i="2"/>
  <c r="AG30" i="2"/>
  <c r="L64" i="2"/>
  <c r="L41" i="2"/>
  <c r="H11" i="2"/>
  <c r="G23" i="2" s="1"/>
  <c r="M7" i="2"/>
  <c r="L23" i="2"/>
  <c r="W43" i="2"/>
  <c r="AG7" i="2"/>
  <c r="AG40" i="2" l="1"/>
  <c r="AG39" i="2"/>
  <c r="AG62" i="2" s="1"/>
  <c r="AG35" i="2"/>
  <c r="AG37" i="2"/>
  <c r="AG60" i="2" s="1"/>
  <c r="AG38" i="2"/>
  <c r="AG61" i="2" s="1"/>
  <c r="AG36" i="2"/>
  <c r="AG59" i="2" s="1"/>
  <c r="S43" i="2"/>
  <c r="M6" i="2"/>
  <c r="H7" i="2"/>
  <c r="V16" i="2"/>
  <c r="V17" i="2" s="1"/>
  <c r="AB16" i="2"/>
  <c r="R40" i="2"/>
  <c r="R35" i="2"/>
  <c r="R39" i="2"/>
  <c r="R62" i="2" s="1"/>
  <c r="R36" i="2"/>
  <c r="R59" i="2" s="1"/>
  <c r="R38" i="2"/>
  <c r="R61" i="2" s="1"/>
  <c r="R37" i="2"/>
  <c r="R60" i="2" s="1"/>
  <c r="AG31" i="2" l="1"/>
  <c r="AF30" i="2"/>
  <c r="AG58" i="2"/>
  <c r="AG54" i="2" s="1"/>
  <c r="AG53" i="2" s="1"/>
  <c r="AG63" i="2" s="1"/>
  <c r="Q30" i="2"/>
  <c r="R31" i="2"/>
  <c r="R58" i="2"/>
  <c r="R54" i="2" s="1"/>
  <c r="M23" i="2"/>
  <c r="M17" i="2"/>
  <c r="H6" i="2"/>
  <c r="R53" i="2"/>
  <c r="R63" i="2" s="1"/>
  <c r="W16" i="2"/>
  <c r="AB6" i="2"/>
  <c r="Q40" i="2" l="1"/>
  <c r="Q38" i="2"/>
  <c r="Q61" i="2" s="1"/>
  <c r="Q37" i="2"/>
  <c r="Q60" i="2" s="1"/>
  <c r="Q36" i="2"/>
  <c r="Q59" i="2" s="1"/>
  <c r="Q39" i="2"/>
  <c r="Q62" i="2" s="1"/>
  <c r="Q33" i="2"/>
  <c r="Q34" i="2"/>
  <c r="M64" i="2"/>
  <c r="M41" i="2"/>
  <c r="M30" i="2" s="1"/>
  <c r="AB23" i="2"/>
  <c r="AB17" i="2"/>
  <c r="W6" i="2"/>
  <c r="W23" i="2" s="1"/>
  <c r="AB11" i="2"/>
  <c r="AF40" i="2"/>
  <c r="AF39" i="2"/>
  <c r="AF62" i="2" s="1"/>
  <c r="AF36" i="2"/>
  <c r="AF59" i="2" s="1"/>
  <c r="AF33" i="2"/>
  <c r="AF34" i="2"/>
  <c r="AF37" i="2"/>
  <c r="AF60" i="2" s="1"/>
  <c r="AF38" i="2"/>
  <c r="AF61" i="2" s="1"/>
  <c r="H23" i="2"/>
  <c r="H17" i="2"/>
  <c r="W17" i="2"/>
  <c r="AE30" i="2" l="1"/>
  <c r="AF57" i="2"/>
  <c r="P30" i="2"/>
  <c r="Q57" i="2"/>
  <c r="AF31" i="2"/>
  <c r="AF56" i="2"/>
  <c r="AF54" i="2" s="1"/>
  <c r="AF53" i="2" s="1"/>
  <c r="AF63" i="2" s="1"/>
  <c r="AB64" i="2"/>
  <c r="AB41" i="2"/>
  <c r="AB30" i="2" s="1"/>
  <c r="Q31" i="2"/>
  <c r="Q56" i="2"/>
  <c r="Q54" i="2" s="1"/>
  <c r="W11" i="2"/>
  <c r="V23" i="2" s="1"/>
  <c r="AB7" i="2"/>
  <c r="W7" i="2" s="1"/>
  <c r="AA23" i="2"/>
  <c r="M40" i="2"/>
  <c r="H40" i="2" s="1"/>
  <c r="H30" i="2"/>
  <c r="M35" i="2"/>
  <c r="M39" i="2"/>
  <c r="M37" i="2"/>
  <c r="M36" i="2"/>
  <c r="M38" i="2"/>
  <c r="Q53" i="2"/>
  <c r="Q63" i="2" s="1"/>
  <c r="M61" i="2" l="1"/>
  <c r="H61" i="2" s="1"/>
  <c r="H38" i="2"/>
  <c r="M31" i="2"/>
  <c r="H31" i="2" s="1"/>
  <c r="H35" i="2"/>
  <c r="L30" i="2"/>
  <c r="M58" i="2"/>
  <c r="AE40" i="2"/>
  <c r="AE37" i="2"/>
  <c r="AE60" i="2" s="1"/>
  <c r="AE38" i="2"/>
  <c r="AE61" i="2" s="1"/>
  <c r="AE33" i="2"/>
  <c r="AE39" i="2"/>
  <c r="AE62" i="2" s="1"/>
  <c r="AE36" i="2"/>
  <c r="AE59" i="2" s="1"/>
  <c r="AB40" i="2"/>
  <c r="W40" i="2" s="1"/>
  <c r="W41" i="2" s="1"/>
  <c r="W30" i="2"/>
  <c r="AB38" i="2"/>
  <c r="AB37" i="2"/>
  <c r="AB39" i="2"/>
  <c r="AB36" i="2"/>
  <c r="M62" i="2"/>
  <c r="H39" i="2"/>
  <c r="M59" i="2"/>
  <c r="H59" i="2" s="1"/>
  <c r="H36" i="2"/>
  <c r="M60" i="2"/>
  <c r="H60" i="2" s="1"/>
  <c r="H37" i="2"/>
  <c r="H41" i="2"/>
  <c r="P40" i="2"/>
  <c r="P38" i="2"/>
  <c r="P61" i="2" s="1"/>
  <c r="P36" i="2"/>
  <c r="P59" i="2" s="1"/>
  <c r="P33" i="2"/>
  <c r="P37" i="2"/>
  <c r="P60" i="2" s="1"/>
  <c r="P39" i="2"/>
  <c r="P62" i="2" s="1"/>
  <c r="AB35" i="2"/>
  <c r="H62" i="2" l="1"/>
  <c r="M53" i="2"/>
  <c r="W38" i="2"/>
  <c r="AB61" i="2"/>
  <c r="W61" i="2" s="1"/>
  <c r="AB59" i="2"/>
  <c r="W59" i="2" s="1"/>
  <c r="W36" i="2"/>
  <c r="AE56" i="2"/>
  <c r="AE54" i="2" s="1"/>
  <c r="AE53" i="2" s="1"/>
  <c r="AE63" i="2" s="1"/>
  <c r="AE31" i="2"/>
  <c r="AD30" i="2"/>
  <c r="H58" i="2"/>
  <c r="M54" i="2"/>
  <c r="H54" i="2" s="1"/>
  <c r="AA30" i="2"/>
  <c r="AB31" i="2"/>
  <c r="W31" i="2" s="1"/>
  <c r="W35" i="2"/>
  <c r="AB58" i="2"/>
  <c r="AB60" i="2"/>
  <c r="W60" i="2" s="1"/>
  <c r="W37" i="2"/>
  <c r="O30" i="2"/>
  <c r="P31" i="2"/>
  <c r="P56" i="2"/>
  <c r="P54" i="2" s="1"/>
  <c r="P53" i="2" s="1"/>
  <c r="P63" i="2" s="1"/>
  <c r="AB62" i="2"/>
  <c r="W39" i="2"/>
  <c r="L40" i="2"/>
  <c r="G40" i="2" s="1"/>
  <c r="G30" i="2"/>
  <c r="L39" i="2"/>
  <c r="L37" i="2"/>
  <c r="L38" i="2"/>
  <c r="L36" i="2"/>
  <c r="L33" i="2"/>
  <c r="L34" i="2"/>
  <c r="L31" i="2" l="1"/>
  <c r="G31" i="2" s="1"/>
  <c r="G33" i="2"/>
  <c r="L56" i="2"/>
  <c r="M63" i="2"/>
  <c r="H63" i="2" s="1"/>
  <c r="H64" i="2" s="1"/>
  <c r="H53" i="2"/>
  <c r="G34" i="2"/>
  <c r="K30" i="2"/>
  <c r="L57" i="2"/>
  <c r="G57" i="2" s="1"/>
  <c r="L60" i="2"/>
  <c r="G60" i="2" s="1"/>
  <c r="G37" i="2"/>
  <c r="O37" i="2"/>
  <c r="O40" i="2"/>
  <c r="N40" i="2" s="1"/>
  <c r="O39" i="2"/>
  <c r="O38" i="2"/>
  <c r="O36" i="2"/>
  <c r="W62" i="2"/>
  <c r="AD40" i="2"/>
  <c r="AC40" i="2" s="1"/>
  <c r="AC30" i="2" s="1"/>
  <c r="AC41" i="2" s="1"/>
  <c r="AD39" i="2"/>
  <c r="AD62" i="2" s="1"/>
  <c r="AD37" i="2"/>
  <c r="AD36" i="2"/>
  <c r="AD38" i="2"/>
  <c r="G36" i="2"/>
  <c r="L59" i="2"/>
  <c r="G59" i="2" s="1"/>
  <c r="V30" i="2"/>
  <c r="AA40" i="2"/>
  <c r="V40" i="2" s="1"/>
  <c r="V41" i="2" s="1"/>
  <c r="AA37" i="2"/>
  <c r="AA39" i="2"/>
  <c r="AA38" i="2"/>
  <c r="AA34" i="2"/>
  <c r="AA33" i="2"/>
  <c r="AA36" i="2"/>
  <c r="L62" i="2"/>
  <c r="G39" i="2"/>
  <c r="L61" i="2"/>
  <c r="G61" i="2" s="1"/>
  <c r="G38" i="2"/>
  <c r="G41" i="2"/>
  <c r="AB54" i="2"/>
  <c r="W54" i="2" s="1"/>
  <c r="W58" i="2"/>
  <c r="V37" i="2" l="1"/>
  <c r="AA60" i="2"/>
  <c r="V60" i="2" s="1"/>
  <c r="O59" i="2"/>
  <c r="N59" i="2" s="1"/>
  <c r="N36" i="2"/>
  <c r="L54" i="2"/>
  <c r="G54" i="2" s="1"/>
  <c r="G56" i="2"/>
  <c r="AA59" i="2"/>
  <c r="V59" i="2" s="1"/>
  <c r="V36" i="2"/>
  <c r="AA62" i="2"/>
  <c r="V39" i="2"/>
  <c r="AD60" i="2"/>
  <c r="AC60" i="2" s="1"/>
  <c r="AC37" i="2"/>
  <c r="AB53" i="2"/>
  <c r="N30" i="2"/>
  <c r="N41" i="2" s="1"/>
  <c r="AC62" i="2"/>
  <c r="O60" i="2"/>
  <c r="N60" i="2" s="1"/>
  <c r="N37" i="2"/>
  <c r="V34" i="2"/>
  <c r="Z30" i="2"/>
  <c r="AA57" i="2"/>
  <c r="V57" i="2" s="1"/>
  <c r="AD61" i="2"/>
  <c r="AC61" i="2" s="1"/>
  <c r="AC38" i="2"/>
  <c r="O61" i="2"/>
  <c r="N61" i="2" s="1"/>
  <c r="N38" i="2"/>
  <c r="V33" i="2"/>
  <c r="AA31" i="2"/>
  <c r="V31" i="2" s="1"/>
  <c r="AA56" i="2"/>
  <c r="K40" i="2"/>
  <c r="F40" i="2" s="1"/>
  <c r="F41" i="2" s="1"/>
  <c r="K33" i="2"/>
  <c r="F30" i="2"/>
  <c r="K37" i="2"/>
  <c r="K39" i="2"/>
  <c r="K38" i="2"/>
  <c r="K36" i="2"/>
  <c r="G62" i="2"/>
  <c r="L53" i="2"/>
  <c r="AA61" i="2"/>
  <c r="V61" i="2" s="1"/>
  <c r="V38" i="2"/>
  <c r="AD59" i="2"/>
  <c r="AC59" i="2" s="1"/>
  <c r="AC36" i="2"/>
  <c r="O62" i="2"/>
  <c r="N39" i="2"/>
  <c r="K61" i="2" l="1"/>
  <c r="F61" i="2" s="1"/>
  <c r="F38" i="2"/>
  <c r="K59" i="2"/>
  <c r="F59" i="2" s="1"/>
  <c r="F36" i="2"/>
  <c r="AD53" i="2"/>
  <c r="AD63" i="2" s="1"/>
  <c r="AC63" i="2" s="1"/>
  <c r="G53" i="2"/>
  <c r="L63" i="2"/>
  <c r="G63" i="2" s="1"/>
  <c r="K62" i="2"/>
  <c r="F39" i="2"/>
  <c r="O53" i="2"/>
  <c r="O63" i="2" s="1"/>
  <c r="N63" i="2" s="1"/>
  <c r="N62" i="2"/>
  <c r="K56" i="2"/>
  <c r="K31" i="2"/>
  <c r="F31" i="2" s="1"/>
  <c r="J30" i="2"/>
  <c r="F33" i="2"/>
  <c r="K60" i="2"/>
  <c r="F60" i="2" s="1"/>
  <c r="F37" i="2"/>
  <c r="V56" i="2"/>
  <c r="AA54" i="2"/>
  <c r="V54" i="2" s="1"/>
  <c r="Z40" i="2"/>
  <c r="U40" i="2" s="1"/>
  <c r="U41" i="2" s="1"/>
  <c r="U30" i="2"/>
  <c r="Z33" i="2"/>
  <c r="Z39" i="2"/>
  <c r="Z37" i="2"/>
  <c r="Z38" i="2"/>
  <c r="Z36" i="2"/>
  <c r="W53" i="2"/>
  <c r="AB63" i="2"/>
  <c r="W63" i="2" s="1"/>
  <c r="W64" i="2" s="1"/>
  <c r="AA53" i="2"/>
  <c r="V62" i="2"/>
  <c r="F62" i="2" l="1"/>
  <c r="Z62" i="2"/>
  <c r="U39" i="2"/>
  <c r="G64" i="2"/>
  <c r="Z59" i="2"/>
  <c r="U59" i="2" s="1"/>
  <c r="U36" i="2"/>
  <c r="Z56" i="2"/>
  <c r="U33" i="2"/>
  <c r="Z31" i="2"/>
  <c r="U31" i="2" s="1"/>
  <c r="Y30" i="2"/>
  <c r="J40" i="2"/>
  <c r="E30" i="2"/>
  <c r="J37" i="2"/>
  <c r="J36" i="2"/>
  <c r="J39" i="2"/>
  <c r="J38" i="2"/>
  <c r="N53" i="2"/>
  <c r="N64" i="2" s="1"/>
  <c r="U37" i="2"/>
  <c r="Z60" i="2"/>
  <c r="U60" i="2" s="1"/>
  <c r="K54" i="2"/>
  <c r="F54" i="2" s="1"/>
  <c r="F56" i="2"/>
  <c r="V53" i="2"/>
  <c r="AA63" i="2"/>
  <c r="V63" i="2" s="1"/>
  <c r="V64" i="2" s="1"/>
  <c r="Z61" i="2"/>
  <c r="U61" i="2" s="1"/>
  <c r="U38" i="2"/>
  <c r="AC53" i="2"/>
  <c r="AC64" i="2" s="1"/>
  <c r="J59" i="2" l="1"/>
  <c r="E36" i="2"/>
  <c r="I36" i="2"/>
  <c r="D36" i="2" s="1"/>
  <c r="U62" i="2"/>
  <c r="E39" i="2"/>
  <c r="J62" i="2"/>
  <c r="I39" i="2"/>
  <c r="D39" i="2" s="1"/>
  <c r="I40" i="2"/>
  <c r="E40" i="2"/>
  <c r="E41" i="2" s="1"/>
  <c r="U56" i="2"/>
  <c r="Z54" i="2"/>
  <c r="U54" i="2" s="1"/>
  <c r="T30" i="2"/>
  <c r="Y40" i="2"/>
  <c r="Y36" i="2"/>
  <c r="Y38" i="2"/>
  <c r="Y39" i="2"/>
  <c r="Y37" i="2"/>
  <c r="J60" i="2"/>
  <c r="I37" i="2"/>
  <c r="D37" i="2" s="1"/>
  <c r="E37" i="2"/>
  <c r="J61" i="2"/>
  <c r="I38" i="2"/>
  <c r="D38" i="2" s="1"/>
  <c r="E38" i="2"/>
  <c r="K53" i="2"/>
  <c r="X36" i="2" l="1"/>
  <c r="S36" i="2" s="1"/>
  <c r="T36" i="2"/>
  <c r="Y59" i="2"/>
  <c r="Y61" i="2"/>
  <c r="T38" i="2"/>
  <c r="X38" i="2"/>
  <c r="S38" i="2" s="1"/>
  <c r="Z53" i="2"/>
  <c r="I60" i="2"/>
  <c r="D60" i="2" s="1"/>
  <c r="E60" i="2"/>
  <c r="J53" i="2"/>
  <c r="I62" i="2"/>
  <c r="D62" i="2" s="1"/>
  <c r="E62" i="2"/>
  <c r="I61" i="2"/>
  <c r="D61" i="2" s="1"/>
  <c r="E61" i="2"/>
  <c r="Y60" i="2"/>
  <c r="X37" i="2"/>
  <c r="S37" i="2" s="1"/>
  <c r="T37" i="2"/>
  <c r="X40" i="2"/>
  <c r="T40" i="2"/>
  <c r="T41" i="2" s="1"/>
  <c r="F53" i="2"/>
  <c r="K63" i="2"/>
  <c r="F63" i="2" s="1"/>
  <c r="Y62" i="2"/>
  <c r="T39" i="2"/>
  <c r="I41" i="2"/>
  <c r="D40" i="2"/>
  <c r="I30" i="2"/>
  <c r="D30" i="2" s="1"/>
  <c r="E59" i="2"/>
  <c r="I59" i="2"/>
  <c r="D59" i="2" s="1"/>
  <c r="X61" i="2" l="1"/>
  <c r="S61" i="2" s="1"/>
  <c r="T61" i="2"/>
  <c r="X60" i="2"/>
  <c r="S60" i="2" s="1"/>
  <c r="T60" i="2"/>
  <c r="Z63" i="2"/>
  <c r="U63" i="2" s="1"/>
  <c r="U53" i="2"/>
  <c r="T59" i="2"/>
  <c r="X59" i="2"/>
  <c r="S59" i="2" s="1"/>
  <c r="X62" i="2"/>
  <c r="S62" i="2" s="1"/>
  <c r="T62" i="2"/>
  <c r="Y53" i="2"/>
  <c r="S40" i="2"/>
  <c r="X30" i="2"/>
  <c r="J63" i="2"/>
  <c r="E53" i="2"/>
  <c r="D41" i="2"/>
  <c r="F64" i="2"/>
  <c r="Y63" i="2" l="1"/>
  <c r="T53" i="2"/>
  <c r="E63" i="2"/>
  <c r="E64" i="2" s="1"/>
  <c r="I63" i="2"/>
  <c r="X41" i="2"/>
  <c r="S30" i="2"/>
  <c r="S41" i="2" s="1"/>
  <c r="U64" i="2"/>
  <c r="X63" i="2" l="1"/>
  <c r="T63" i="2"/>
  <c r="T64" i="2" s="1"/>
  <c r="I64" i="2"/>
  <c r="D63" i="2"/>
  <c r="I53" i="2"/>
  <c r="D53" i="2" s="1"/>
  <c r="D64" i="2" l="1"/>
  <c r="X64" i="2"/>
  <c r="S63" i="2"/>
  <c r="S64" i="2" s="1"/>
  <c r="X53" i="2"/>
  <c r="S53" i="2" s="1"/>
  <c r="AG93" i="1" l="1"/>
  <c r="AF93" i="1"/>
  <c r="AE93" i="1"/>
  <c r="AD93" i="1"/>
  <c r="AB93" i="1"/>
  <c r="AA93" i="1"/>
  <c r="Z93" i="1"/>
  <c r="Y93" i="1"/>
  <c r="W93" i="1"/>
  <c r="V93" i="1"/>
  <c r="U93" i="1"/>
  <c r="T93" i="1"/>
  <c r="R93" i="1"/>
  <c r="Q93" i="1"/>
  <c r="P93" i="1"/>
  <c r="O93" i="1"/>
  <c r="M93" i="1"/>
  <c r="L93" i="1"/>
  <c r="K93" i="1"/>
  <c r="J93" i="1"/>
  <c r="H93" i="1"/>
  <c r="G93" i="1"/>
  <c r="F93" i="1"/>
  <c r="E93" i="1"/>
  <c r="AC91" i="1"/>
  <c r="X91" i="1"/>
  <c r="S91" i="1"/>
  <c r="N91" i="1"/>
  <c r="I91" i="1"/>
  <c r="D91" i="1"/>
  <c r="AC90" i="1"/>
  <c r="X90" i="1"/>
  <c r="S90" i="1"/>
  <c r="S93" i="1" s="1"/>
  <c r="N90" i="1"/>
  <c r="I90" i="1"/>
  <c r="D90" i="1"/>
  <c r="AC89" i="1"/>
  <c r="AC93" i="1" s="1"/>
  <c r="X89" i="1"/>
  <c r="S89" i="1"/>
  <c r="N89" i="1"/>
  <c r="N93" i="1" s="1"/>
  <c r="I89" i="1"/>
  <c r="I93" i="1" s="1"/>
  <c r="D89" i="1"/>
  <c r="AG84" i="1"/>
  <c r="AF84" i="1"/>
  <c r="AE84" i="1"/>
  <c r="AD84" i="1"/>
  <c r="AB84" i="1"/>
  <c r="AA84" i="1"/>
  <c r="Z84" i="1"/>
  <c r="Y84" i="1"/>
  <c r="W84" i="1"/>
  <c r="V84" i="1"/>
  <c r="U84" i="1"/>
  <c r="R84" i="1"/>
  <c r="Q84" i="1"/>
  <c r="P84" i="1"/>
  <c r="O84" i="1"/>
  <c r="M84" i="1"/>
  <c r="L84" i="1"/>
  <c r="K84" i="1"/>
  <c r="J84" i="1"/>
  <c r="H84" i="1"/>
  <c r="G84" i="1"/>
  <c r="F84" i="1"/>
  <c r="E84" i="1"/>
  <c r="AC82" i="1"/>
  <c r="X82" i="1"/>
  <c r="S82" i="1"/>
  <c r="N82" i="1"/>
  <c r="I82" i="1"/>
  <c r="D82" i="1"/>
  <c r="AC81" i="1"/>
  <c r="X81" i="1"/>
  <c r="T81" i="1"/>
  <c r="N81" i="1"/>
  <c r="I81" i="1"/>
  <c r="D81" i="1"/>
  <c r="AC80" i="1"/>
  <c r="X80" i="1"/>
  <c r="S80" i="1"/>
  <c r="N80" i="1"/>
  <c r="N84" i="1" s="1"/>
  <c r="I80" i="1"/>
  <c r="D80" i="1"/>
  <c r="AG75" i="1"/>
  <c r="AF75" i="1"/>
  <c r="AE75" i="1"/>
  <c r="AD75" i="1"/>
  <c r="AB75" i="1"/>
  <c r="AA75" i="1"/>
  <c r="Z75" i="1"/>
  <c r="Y75" i="1"/>
  <c r="W75" i="1"/>
  <c r="V75" i="1"/>
  <c r="U75" i="1"/>
  <c r="T75" i="1"/>
  <c r="R75" i="1"/>
  <c r="Q75" i="1"/>
  <c r="P75" i="1"/>
  <c r="O75" i="1"/>
  <c r="M75" i="1"/>
  <c r="L75" i="1"/>
  <c r="K75" i="1"/>
  <c r="J75" i="1"/>
  <c r="H75" i="1"/>
  <c r="G75" i="1"/>
  <c r="F75" i="1"/>
  <c r="E75" i="1"/>
  <c r="AC73" i="1"/>
  <c r="X73" i="1"/>
  <c r="S73" i="1"/>
  <c r="N73" i="1"/>
  <c r="I73" i="1"/>
  <c r="D73" i="1"/>
  <c r="AC72" i="1"/>
  <c r="X72" i="1"/>
  <c r="S72" i="1"/>
  <c r="N72" i="1"/>
  <c r="I72" i="1"/>
  <c r="D72" i="1"/>
  <c r="AC71" i="1"/>
  <c r="AC75" i="1" s="1"/>
  <c r="X71" i="1"/>
  <c r="S71" i="1"/>
  <c r="N71" i="1"/>
  <c r="I71" i="1"/>
  <c r="I75" i="1" s="1"/>
  <c r="D71" i="1"/>
  <c r="AG66" i="1"/>
  <c r="AF66" i="1"/>
  <c r="AE66" i="1"/>
  <c r="AD66" i="1"/>
  <c r="AB66" i="1"/>
  <c r="W66" i="1" s="1"/>
  <c r="AA66" i="1"/>
  <c r="Z66" i="1"/>
  <c r="U66" i="1" s="1"/>
  <c r="Y66" i="1"/>
  <c r="X66" i="1" s="1"/>
  <c r="R66" i="1"/>
  <c r="Q66" i="1"/>
  <c r="P66" i="1"/>
  <c r="O66" i="1"/>
  <c r="M66" i="1"/>
  <c r="L66" i="1"/>
  <c r="G66" i="1" s="1"/>
  <c r="K66" i="1"/>
  <c r="J66" i="1"/>
  <c r="H66" i="1"/>
  <c r="AG65" i="1"/>
  <c r="AF65" i="1"/>
  <c r="AE65" i="1"/>
  <c r="AD65" i="1"/>
  <c r="AB65" i="1"/>
  <c r="AA65" i="1"/>
  <c r="Z65" i="1"/>
  <c r="Y65" i="1"/>
  <c r="AC46" i="1"/>
  <c r="S46" i="1" s="1"/>
  <c r="X46" i="1"/>
  <c r="V46" i="1"/>
  <c r="U46" i="1"/>
  <c r="T46" i="1"/>
  <c r="N46" i="1"/>
  <c r="I46" i="1"/>
  <c r="D46" i="1" s="1"/>
  <c r="G46" i="1"/>
  <c r="F46" i="1"/>
  <c r="E46" i="1"/>
  <c r="AG45" i="1"/>
  <c r="AF45" i="1"/>
  <c r="AE45" i="1"/>
  <c r="AD45" i="1"/>
  <c r="AD43" i="1" s="1"/>
  <c r="AB45" i="1"/>
  <c r="W45" i="1" s="1"/>
  <c r="AA45" i="1"/>
  <c r="Z45" i="1"/>
  <c r="Y45" i="1"/>
  <c r="V45" i="1"/>
  <c r="R45" i="1"/>
  <c r="H45" i="1" s="1"/>
  <c r="Q45" i="1"/>
  <c r="P45" i="1"/>
  <c r="O45" i="1"/>
  <c r="N45" i="1" s="1"/>
  <c r="M45" i="1"/>
  <c r="L45" i="1"/>
  <c r="G45" i="1" s="1"/>
  <c r="K45" i="1"/>
  <c r="F45" i="1" s="1"/>
  <c r="J45" i="1"/>
  <c r="AF44" i="1"/>
  <c r="AE44" i="1"/>
  <c r="AE43" i="1" s="1"/>
  <c r="AD44" i="1"/>
  <c r="AA44" i="1"/>
  <c r="Z44" i="1"/>
  <c r="Y44" i="1"/>
  <c r="T44" i="1" s="1"/>
  <c r="R44" i="1"/>
  <c r="Q44" i="1"/>
  <c r="P44" i="1"/>
  <c r="O44" i="1"/>
  <c r="M44" i="1"/>
  <c r="L44" i="1"/>
  <c r="K44" i="1"/>
  <c r="K43" i="1" s="1"/>
  <c r="J44" i="1"/>
  <c r="H44" i="1"/>
  <c r="AA43" i="1"/>
  <c r="R43" i="1"/>
  <c r="H43" i="1" s="1"/>
  <c r="Q43" i="1"/>
  <c r="M43" i="1"/>
  <c r="AG42" i="1"/>
  <c r="AF42" i="1"/>
  <c r="AE42" i="1"/>
  <c r="AD42" i="1"/>
  <c r="AB42" i="1"/>
  <c r="AA42" i="1"/>
  <c r="Z42" i="1"/>
  <c r="Y42" i="1"/>
  <c r="X42" i="1"/>
  <c r="R42" i="1"/>
  <c r="Q42" i="1"/>
  <c r="P42" i="1"/>
  <c r="O42" i="1"/>
  <c r="N42" i="1" s="1"/>
  <c r="M42" i="1"/>
  <c r="L42" i="1"/>
  <c r="K42" i="1"/>
  <c r="J42" i="1"/>
  <c r="R41" i="1"/>
  <c r="AC22" i="1"/>
  <c r="X22" i="1"/>
  <c r="S22" i="1" s="1"/>
  <c r="W22" i="1"/>
  <c r="V22" i="1"/>
  <c r="U22" i="1"/>
  <c r="T22" i="1"/>
  <c r="N22" i="1"/>
  <c r="I22" i="1"/>
  <c r="H22" i="1"/>
  <c r="G22" i="1"/>
  <c r="F22" i="1"/>
  <c r="E22" i="1"/>
  <c r="D22" i="1"/>
  <c r="AC21" i="1"/>
  <c r="X21" i="1"/>
  <c r="W21" i="1"/>
  <c r="V21" i="1"/>
  <c r="U21" i="1"/>
  <c r="T21" i="1"/>
  <c r="N21" i="1"/>
  <c r="I21" i="1"/>
  <c r="H21" i="1"/>
  <c r="G21" i="1"/>
  <c r="F21" i="1"/>
  <c r="E21" i="1"/>
  <c r="V20" i="1"/>
  <c r="U20" i="1"/>
  <c r="T20" i="1"/>
  <c r="N20" i="1"/>
  <c r="I20" i="1"/>
  <c r="H20" i="1"/>
  <c r="G20" i="1"/>
  <c r="F20" i="1"/>
  <c r="E20" i="1"/>
  <c r="AF19" i="1"/>
  <c r="AE19" i="1"/>
  <c r="AD19" i="1"/>
  <c r="AA19" i="1"/>
  <c r="Z19" i="1"/>
  <c r="Y19" i="1"/>
  <c r="T19" i="1"/>
  <c r="R19" i="1"/>
  <c r="Q19" i="1"/>
  <c r="P19" i="1"/>
  <c r="O19" i="1"/>
  <c r="M19" i="1"/>
  <c r="L19" i="1"/>
  <c r="G19" i="1" s="1"/>
  <c r="K19" i="1"/>
  <c r="J19" i="1"/>
  <c r="E19" i="1" s="1"/>
  <c r="H19" i="1"/>
  <c r="H23" i="1" s="1"/>
  <c r="AC18" i="1"/>
  <c r="X18" i="1"/>
  <c r="S18" i="1" s="1"/>
  <c r="W18" i="1"/>
  <c r="W42" i="1" s="1"/>
  <c r="V18" i="1"/>
  <c r="V42" i="1" s="1"/>
  <c r="U18" i="1"/>
  <c r="U42" i="1" s="1"/>
  <c r="T18" i="1"/>
  <c r="T42" i="1" s="1"/>
  <c r="N18" i="1"/>
  <c r="I18" i="1"/>
  <c r="H18" i="1"/>
  <c r="H42" i="1" s="1"/>
  <c r="G18" i="1"/>
  <c r="G42" i="1" s="1"/>
  <c r="F18" i="1"/>
  <c r="F42" i="1" s="1"/>
  <c r="E18" i="1"/>
  <c r="E42" i="1" s="1"/>
  <c r="AG17" i="1"/>
  <c r="AG41" i="1" s="1"/>
  <c r="AF17" i="1"/>
  <c r="AF41" i="1" s="1"/>
  <c r="AE17" i="1"/>
  <c r="AE41" i="1" s="1"/>
  <c r="AD17" i="1"/>
  <c r="AD41" i="1" s="1"/>
  <c r="AB17" i="1"/>
  <c r="AB41" i="1" s="1"/>
  <c r="AA17" i="1"/>
  <c r="AA41" i="1" s="1"/>
  <c r="Z17" i="1"/>
  <c r="Z41" i="1" s="1"/>
  <c r="Y17" i="1"/>
  <c r="Y41" i="1" s="1"/>
  <c r="W17" i="1"/>
  <c r="W41" i="1" s="1"/>
  <c r="V17" i="1"/>
  <c r="V41" i="1" s="1"/>
  <c r="U17" i="1"/>
  <c r="U41" i="1" s="1"/>
  <c r="T17" i="1"/>
  <c r="T41" i="1" s="1"/>
  <c r="R17" i="1"/>
  <c r="R65" i="1" s="1"/>
  <c r="Q17" i="1"/>
  <c r="P17" i="1"/>
  <c r="O17" i="1"/>
  <c r="M17" i="1"/>
  <c r="L17" i="1"/>
  <c r="K17" i="1"/>
  <c r="J17" i="1"/>
  <c r="J65" i="1" s="1"/>
  <c r="AC15" i="1"/>
  <c r="X15" i="1"/>
  <c r="S15" i="1" s="1"/>
  <c r="W15" i="1"/>
  <c r="V15" i="1"/>
  <c r="U15" i="1"/>
  <c r="T15" i="1"/>
  <c r="N15" i="1"/>
  <c r="I15" i="1"/>
  <c r="D15" i="1" s="1"/>
  <c r="H15" i="1"/>
  <c r="G15" i="1"/>
  <c r="F15" i="1"/>
  <c r="E15" i="1"/>
  <c r="AC14" i="1"/>
  <c r="X14" i="1"/>
  <c r="S14" i="1" s="1"/>
  <c r="W14" i="1"/>
  <c r="V14" i="1"/>
  <c r="U14" i="1"/>
  <c r="T14" i="1"/>
  <c r="N14" i="1"/>
  <c r="D14" i="1" s="1"/>
  <c r="I14" i="1"/>
  <c r="H14" i="1"/>
  <c r="G14" i="1"/>
  <c r="F14" i="1"/>
  <c r="E14" i="1"/>
  <c r="AC13" i="1"/>
  <c r="X13" i="1"/>
  <c r="W13" i="1"/>
  <c r="V13" i="1"/>
  <c r="U13" i="1"/>
  <c r="T13" i="1"/>
  <c r="N13" i="1"/>
  <c r="N6" i="1" s="1"/>
  <c r="I13" i="1"/>
  <c r="H13" i="1"/>
  <c r="G13" i="1"/>
  <c r="F13" i="1"/>
  <c r="E13" i="1"/>
  <c r="AC12" i="1"/>
  <c r="X12" i="1"/>
  <c r="S12" i="1" s="1"/>
  <c r="W12" i="1"/>
  <c r="V12" i="1"/>
  <c r="U12" i="1"/>
  <c r="T12" i="1"/>
  <c r="N12" i="1"/>
  <c r="I12" i="1"/>
  <c r="H12" i="1"/>
  <c r="G12" i="1"/>
  <c r="F12" i="1"/>
  <c r="E12" i="1"/>
  <c r="W10" i="1"/>
  <c r="H10" i="1"/>
  <c r="W9" i="1"/>
  <c r="U9" i="1"/>
  <c r="H9" i="1"/>
  <c r="F9" i="1"/>
  <c r="AE7" i="1"/>
  <c r="Z7" i="1"/>
  <c r="U7" i="1" s="1"/>
  <c r="P7" i="1"/>
  <c r="K7" i="1"/>
  <c r="F7" i="1" s="1"/>
  <c r="AE6" i="1"/>
  <c r="AD6" i="1"/>
  <c r="AC6" i="1"/>
  <c r="Y6" i="1"/>
  <c r="P6" i="1"/>
  <c r="O6" i="1"/>
  <c r="J6" i="1"/>
  <c r="I6" i="1"/>
  <c r="Y43" i="1" l="1"/>
  <c r="V66" i="1"/>
  <c r="N75" i="1"/>
  <c r="D75" i="1"/>
  <c r="X75" i="1"/>
  <c r="X84" i="1"/>
  <c r="X6" i="1"/>
  <c r="S6" i="1" s="1"/>
  <c r="D42" i="1"/>
  <c r="D18" i="1"/>
  <c r="E23" i="1"/>
  <c r="T23" i="1"/>
  <c r="D20" i="1"/>
  <c r="AC42" i="1"/>
  <c r="U44" i="1"/>
  <c r="T43" i="1"/>
  <c r="T66" i="1"/>
  <c r="K6" i="1"/>
  <c r="F6" i="1" s="1"/>
  <c r="D13" i="1"/>
  <c r="F19" i="1"/>
  <c r="F23" i="1" s="1"/>
  <c r="D21" i="1"/>
  <c r="R30" i="1"/>
  <c r="R40" i="1" s="1"/>
  <c r="Z6" i="1"/>
  <c r="U6" i="1" s="1"/>
  <c r="D12" i="1"/>
  <c r="G23" i="1"/>
  <c r="U19" i="1"/>
  <c r="U23" i="1" s="1"/>
  <c r="V19" i="1"/>
  <c r="V23" i="1" s="1"/>
  <c r="S21" i="1"/>
  <c r="I42" i="1"/>
  <c r="O43" i="1"/>
  <c r="Z43" i="1"/>
  <c r="U43" i="1" s="1"/>
  <c r="I44" i="1"/>
  <c r="J43" i="1"/>
  <c r="I43" i="1" s="1"/>
  <c r="S75" i="1"/>
  <c r="I84" i="1"/>
  <c r="AC84" i="1"/>
  <c r="D93" i="1"/>
  <c r="X93" i="1"/>
  <c r="Z16" i="1"/>
  <c r="E6" i="1"/>
  <c r="AF9" i="1"/>
  <c r="S13" i="1"/>
  <c r="Y16" i="1"/>
  <c r="K65" i="1"/>
  <c r="K41" i="1"/>
  <c r="O65" i="1"/>
  <c r="O41" i="1"/>
  <c r="AD16" i="1"/>
  <c r="L65" i="1"/>
  <c r="L41" i="1"/>
  <c r="P65" i="1"/>
  <c r="P41" i="1"/>
  <c r="V44" i="1"/>
  <c r="AF43" i="1"/>
  <c r="V43" i="1" s="1"/>
  <c r="T45" i="1"/>
  <c r="AC45" i="1"/>
  <c r="K16" i="1"/>
  <c r="O16" i="1"/>
  <c r="AE16" i="1"/>
  <c r="M65" i="1"/>
  <c r="M41" i="1"/>
  <c r="M30" i="1" s="1"/>
  <c r="Q65" i="1"/>
  <c r="Q41" i="1"/>
  <c r="J16" i="1"/>
  <c r="D6" i="1"/>
  <c r="T6" i="1"/>
  <c r="AA10" i="1"/>
  <c r="P16" i="1"/>
  <c r="S42" i="1"/>
  <c r="J41" i="1"/>
  <c r="N66" i="1"/>
  <c r="F66" i="1"/>
  <c r="I66" i="1"/>
  <c r="T84" i="1"/>
  <c r="S81" i="1"/>
  <c r="S84" i="1" s="1"/>
  <c r="N44" i="1"/>
  <c r="F44" i="1"/>
  <c r="P43" i="1"/>
  <c r="X45" i="1"/>
  <c r="U45" i="1"/>
  <c r="L43" i="1"/>
  <c r="G43" i="1" s="1"/>
  <c r="G44" i="1"/>
  <c r="I45" i="1"/>
  <c r="D45" i="1" s="1"/>
  <c r="E45" i="1"/>
  <c r="AC66" i="1"/>
  <c r="S66" i="1" s="1"/>
  <c r="D84" i="1"/>
  <c r="E44" i="1"/>
  <c r="E66" i="1"/>
  <c r="E43" i="1" l="1"/>
  <c r="D44" i="1"/>
  <c r="D66" i="1"/>
  <c r="T16" i="1"/>
  <c r="AA9" i="1"/>
  <c r="L10" i="1"/>
  <c r="F16" i="1"/>
  <c r="F17" i="1" s="1"/>
  <c r="S45" i="1"/>
  <c r="F43" i="1"/>
  <c r="N43" i="1"/>
  <c r="E16" i="1"/>
  <c r="E17" i="1" s="1"/>
  <c r="Q10" i="1"/>
  <c r="U16" i="1"/>
  <c r="D43" i="1"/>
  <c r="Q9" i="1"/>
  <c r="AD23" i="1"/>
  <c r="M40" i="1"/>
  <c r="H40" i="1" s="1"/>
  <c r="H30" i="1"/>
  <c r="Z23" i="1"/>
  <c r="L9" i="1"/>
  <c r="J23" i="1" s="1"/>
  <c r="Y23" i="1"/>
  <c r="AF10" i="1"/>
  <c r="AE23" i="1" s="1"/>
  <c r="V10" i="1" l="1"/>
  <c r="G10" i="1"/>
  <c r="P23" i="1"/>
  <c r="V9" i="1"/>
  <c r="AA7" i="1"/>
  <c r="AF7" i="1"/>
  <c r="AF6" i="1" s="1"/>
  <c r="G9" i="1"/>
  <c r="L7" i="1"/>
  <c r="Q7" i="1"/>
  <c r="Q6" i="1" s="1"/>
  <c r="K23" i="1"/>
  <c r="O23" i="1"/>
  <c r="G7" i="1" l="1"/>
  <c r="L6" i="1"/>
  <c r="V7" i="1"/>
  <c r="AA6" i="1"/>
  <c r="Q16" i="1"/>
  <c r="AF16" i="1"/>
  <c r="AG11" i="1" s="1"/>
  <c r="R11" i="1" l="1"/>
  <c r="Q23" i="1" s="1"/>
  <c r="AG7" i="1"/>
  <c r="AG6" i="1"/>
  <c r="V6" i="1"/>
  <c r="AA16" i="1"/>
  <c r="AB11" i="1" s="1"/>
  <c r="AF23" i="1"/>
  <c r="L16" i="1"/>
  <c r="G6" i="1"/>
  <c r="R7" i="1" l="1"/>
  <c r="R6" i="1" s="1"/>
  <c r="R38" i="1" s="1"/>
  <c r="R62" i="1" s="1"/>
  <c r="AB7" i="1"/>
  <c r="W7" i="1" s="1"/>
  <c r="AB6" i="1"/>
  <c r="W11" i="1"/>
  <c r="G16" i="1"/>
  <c r="G17" i="1" s="1"/>
  <c r="V16" i="1"/>
  <c r="AG16" i="1"/>
  <c r="AC16" i="1" s="1"/>
  <c r="AC17" i="1" s="1"/>
  <c r="M11" i="1"/>
  <c r="AA23" i="1"/>
  <c r="R39" i="1"/>
  <c r="R63" i="1" s="1"/>
  <c r="R16" i="1"/>
  <c r="N16" i="1" s="1"/>
  <c r="R35" i="1" l="1"/>
  <c r="R59" i="1" s="1"/>
  <c r="R55" i="1" s="1"/>
  <c r="R36" i="1"/>
  <c r="R60" i="1" s="1"/>
  <c r="R54" i="1" s="1"/>
  <c r="R64" i="1" s="1"/>
  <c r="R37" i="1"/>
  <c r="R61" i="1" s="1"/>
  <c r="AG19" i="1"/>
  <c r="AC19" i="1" s="1"/>
  <c r="R31" i="1"/>
  <c r="Q30" i="1"/>
  <c r="N17" i="1"/>
  <c r="N19" i="1"/>
  <c r="AG20" i="1"/>
  <c r="AG23" i="1" s="1"/>
  <c r="AB16" i="1"/>
  <c r="AB19" i="1" s="1"/>
  <c r="W6" i="1"/>
  <c r="R23" i="1"/>
  <c r="M7" i="1"/>
  <c r="H11" i="1"/>
  <c r="L23" i="1"/>
  <c r="X19" i="1" l="1"/>
  <c r="S19" i="1" s="1"/>
  <c r="AB20" i="1"/>
  <c r="W19" i="1"/>
  <c r="AG44" i="1"/>
  <c r="AC20" i="1"/>
  <c r="Q40" i="1"/>
  <c r="Q34" i="1"/>
  <c r="Q39" i="1"/>
  <c r="Q63" i="1" s="1"/>
  <c r="Q38" i="1"/>
  <c r="Q62" i="1" s="1"/>
  <c r="Q37" i="1"/>
  <c r="Q61" i="1" s="1"/>
  <c r="Q36" i="1"/>
  <c r="Q60" i="1" s="1"/>
  <c r="Q33" i="1"/>
  <c r="H7" i="1"/>
  <c r="M6" i="1"/>
  <c r="W16" i="1"/>
  <c r="X16" i="1"/>
  <c r="S16" i="1" l="1"/>
  <c r="S17" i="1" s="1"/>
  <c r="S41" i="1" s="1"/>
  <c r="X17" i="1"/>
  <c r="Q31" i="1"/>
  <c r="Q57" i="1"/>
  <c r="AG43" i="1"/>
  <c r="AG30" i="1" s="1"/>
  <c r="AC44" i="1"/>
  <c r="AC43" i="1" s="1"/>
  <c r="P30" i="1"/>
  <c r="Q58" i="1"/>
  <c r="M38" i="1"/>
  <c r="M36" i="1"/>
  <c r="M39" i="1"/>
  <c r="M37" i="1"/>
  <c r="M35" i="1"/>
  <c r="M16" i="1"/>
  <c r="M23" i="1" s="1"/>
  <c r="H6" i="1"/>
  <c r="AB44" i="1"/>
  <c r="X20" i="1"/>
  <c r="S20" i="1" s="1"/>
  <c r="W20" i="1"/>
  <c r="W23" i="1" s="1"/>
  <c r="AB23" i="1"/>
  <c r="H35" i="1" l="1"/>
  <c r="M31" i="1"/>
  <c r="H31" i="1" s="1"/>
  <c r="L30" i="1"/>
  <c r="M59" i="1"/>
  <c r="M60" i="1"/>
  <c r="H60" i="1" s="1"/>
  <c r="H36" i="1"/>
  <c r="AB43" i="1"/>
  <c r="W44" i="1"/>
  <c r="X44" i="1"/>
  <c r="M62" i="1"/>
  <c r="H62" i="1" s="1"/>
  <c r="H38" i="1"/>
  <c r="M61" i="1"/>
  <c r="H61" i="1" s="1"/>
  <c r="H37" i="1"/>
  <c r="AG40" i="1"/>
  <c r="AG38" i="1"/>
  <c r="AG62" i="1" s="1"/>
  <c r="AG35" i="1"/>
  <c r="AG36" i="1"/>
  <c r="AG60" i="1" s="1"/>
  <c r="AG37" i="1"/>
  <c r="AG61" i="1" s="1"/>
  <c r="AG39" i="1"/>
  <c r="AG63" i="1" s="1"/>
  <c r="H16" i="1"/>
  <c r="H17" i="1" s="1"/>
  <c r="I16" i="1"/>
  <c r="M63" i="1"/>
  <c r="H39" i="1"/>
  <c r="P40" i="1"/>
  <c r="P37" i="1"/>
  <c r="P61" i="1" s="1"/>
  <c r="P36" i="1"/>
  <c r="P60" i="1" s="1"/>
  <c r="P33" i="1"/>
  <c r="P39" i="1"/>
  <c r="P63" i="1" s="1"/>
  <c r="P38" i="1"/>
  <c r="P62" i="1" s="1"/>
  <c r="Q55" i="1"/>
  <c r="Q54" i="1" s="1"/>
  <c r="Q64" i="1" s="1"/>
  <c r="P57" i="1" l="1"/>
  <c r="P55" i="1" s="1"/>
  <c r="P54" i="1" s="1"/>
  <c r="P64" i="1" s="1"/>
  <c r="O30" i="1"/>
  <c r="P31" i="1"/>
  <c r="W43" i="1"/>
  <c r="AB30" i="1"/>
  <c r="H59" i="1"/>
  <c r="M55" i="1"/>
  <c r="H55" i="1" s="1"/>
  <c r="H63" i="1"/>
  <c r="M54" i="1"/>
  <c r="G30" i="1"/>
  <c r="L40" i="1"/>
  <c r="G40" i="1" s="1"/>
  <c r="L33" i="1"/>
  <c r="L39" i="1"/>
  <c r="L36" i="1"/>
  <c r="L37" i="1"/>
  <c r="L34" i="1"/>
  <c r="L38" i="1"/>
  <c r="D16" i="1"/>
  <c r="D17" i="1" s="1"/>
  <c r="I17" i="1"/>
  <c r="I19" i="1"/>
  <c r="D19" i="1" s="1"/>
  <c r="D23" i="1" s="1"/>
  <c r="X43" i="1"/>
  <c r="S44" i="1"/>
  <c r="AG31" i="1"/>
  <c r="AF30" i="1"/>
  <c r="AG59" i="1"/>
  <c r="AG55" i="1" s="1"/>
  <c r="AG54" i="1" s="1"/>
  <c r="AG64" i="1" s="1"/>
  <c r="L61" i="1" l="1"/>
  <c r="G61" i="1" s="1"/>
  <c r="G37" i="1"/>
  <c r="AF40" i="1"/>
  <c r="AF37" i="1"/>
  <c r="AF61" i="1" s="1"/>
  <c r="AF39" i="1"/>
  <c r="AF63" i="1" s="1"/>
  <c r="AF38" i="1"/>
  <c r="AF62" i="1" s="1"/>
  <c r="AF34" i="1"/>
  <c r="AF33" i="1"/>
  <c r="AF36" i="1"/>
  <c r="AF60" i="1" s="1"/>
  <c r="S43" i="1"/>
  <c r="L62" i="1"/>
  <c r="G62" i="1" s="1"/>
  <c r="G38" i="1"/>
  <c r="L63" i="1"/>
  <c r="G39" i="1"/>
  <c r="M64" i="1"/>
  <c r="H64" i="1" s="1"/>
  <c r="H54" i="1"/>
  <c r="W30" i="1"/>
  <c r="AB40" i="1"/>
  <c r="W40" i="1" s="1"/>
  <c r="AB37" i="1"/>
  <c r="AB35" i="1"/>
  <c r="AB38" i="1"/>
  <c r="AB39" i="1"/>
  <c r="AB36" i="1"/>
  <c r="O40" i="1"/>
  <c r="N40" i="1" s="1"/>
  <c r="N30" i="1" s="1"/>
  <c r="N41" i="1" s="1"/>
  <c r="O37" i="1"/>
  <c r="O39" i="1"/>
  <c r="O38" i="1"/>
  <c r="O36" i="1"/>
  <c r="G36" i="1"/>
  <c r="L60" i="1"/>
  <c r="G60" i="1" s="1"/>
  <c r="K30" i="1"/>
  <c r="G34" i="1"/>
  <c r="L58" i="1"/>
  <c r="G58" i="1" s="1"/>
  <c r="L31" i="1"/>
  <c r="G31" i="1" s="1"/>
  <c r="G33" i="1"/>
  <c r="L57" i="1"/>
  <c r="O63" i="1" l="1"/>
  <c r="N39" i="1"/>
  <c r="L55" i="1"/>
  <c r="G55" i="1" s="1"/>
  <c r="G57" i="1"/>
  <c r="O60" i="1"/>
  <c r="N60" i="1" s="1"/>
  <c r="N36" i="1"/>
  <c r="K40" i="1"/>
  <c r="F40" i="1" s="1"/>
  <c r="F30" i="1"/>
  <c r="K37" i="1"/>
  <c r="K38" i="1"/>
  <c r="K36" i="1"/>
  <c r="K39" i="1"/>
  <c r="K33" i="1"/>
  <c r="O62" i="1"/>
  <c r="N62" i="1" s="1"/>
  <c r="N38" i="1"/>
  <c r="W36" i="1"/>
  <c r="AB60" i="1"/>
  <c r="W60" i="1" s="1"/>
  <c r="AB61" i="1"/>
  <c r="W61" i="1" s="1"/>
  <c r="W37" i="1"/>
  <c r="H65" i="1"/>
  <c r="AF31" i="1"/>
  <c r="AF57" i="1"/>
  <c r="AB63" i="1"/>
  <c r="W39" i="1"/>
  <c r="AE30" i="1"/>
  <c r="AF58" i="1"/>
  <c r="O61" i="1"/>
  <c r="N61" i="1" s="1"/>
  <c r="N37" i="1"/>
  <c r="AB62" i="1"/>
  <c r="W62" i="1" s="1"/>
  <c r="W38" i="1"/>
  <c r="G63" i="1"/>
  <c r="W35" i="1"/>
  <c r="AA30" i="1"/>
  <c r="AB31" i="1"/>
  <c r="W31" i="1" s="1"/>
  <c r="AB59" i="1"/>
  <c r="V30" i="1" l="1"/>
  <c r="AA40" i="1"/>
  <c r="V40" i="1" s="1"/>
  <c r="AA38" i="1"/>
  <c r="AA39" i="1"/>
  <c r="AA36" i="1"/>
  <c r="AA37" i="1"/>
  <c r="AA34" i="1"/>
  <c r="AA33" i="1"/>
  <c r="AF55" i="1"/>
  <c r="AF54" i="1" s="1"/>
  <c r="AF64" i="1" s="1"/>
  <c r="W59" i="1"/>
  <c r="AB55" i="1"/>
  <c r="W55" i="1" s="1"/>
  <c r="W63" i="1"/>
  <c r="K63" i="1"/>
  <c r="F39" i="1"/>
  <c r="K60" i="1"/>
  <c r="F60" i="1" s="1"/>
  <c r="F36" i="1"/>
  <c r="AE40" i="1"/>
  <c r="AE39" i="1"/>
  <c r="AE63" i="1" s="1"/>
  <c r="AE37" i="1"/>
  <c r="AE61" i="1" s="1"/>
  <c r="AE33" i="1"/>
  <c r="AE36" i="1"/>
  <c r="AE60" i="1" s="1"/>
  <c r="AE38" i="1"/>
  <c r="AE62" i="1" s="1"/>
  <c r="K62" i="1"/>
  <c r="F62" i="1" s="1"/>
  <c r="F38" i="1"/>
  <c r="L54" i="1"/>
  <c r="K57" i="1"/>
  <c r="J30" i="1"/>
  <c r="K31" i="1"/>
  <c r="F31" i="1" s="1"/>
  <c r="F33" i="1"/>
  <c r="K61" i="1"/>
  <c r="F61" i="1" s="1"/>
  <c r="F37" i="1"/>
  <c r="O54" i="1"/>
  <c r="O64" i="1" s="1"/>
  <c r="N64" i="1" s="1"/>
  <c r="N63" i="1"/>
  <c r="Z30" i="1" l="1"/>
  <c r="V34" i="1"/>
  <c r="AA58" i="1"/>
  <c r="V58" i="1" s="1"/>
  <c r="J40" i="1"/>
  <c r="E30" i="1"/>
  <c r="J36" i="1"/>
  <c r="J37" i="1"/>
  <c r="J38" i="1"/>
  <c r="J39" i="1"/>
  <c r="V33" i="1"/>
  <c r="AA31" i="1"/>
  <c r="V31" i="1" s="1"/>
  <c r="AA57" i="1"/>
  <c r="AA63" i="1"/>
  <c r="V39" i="1"/>
  <c r="AA62" i="1"/>
  <c r="V62" i="1" s="1"/>
  <c r="V38" i="1"/>
  <c r="G54" i="1"/>
  <c r="L64" i="1"/>
  <c r="G64" i="1" s="1"/>
  <c r="F63" i="1"/>
  <c r="AA61" i="1"/>
  <c r="V61" i="1" s="1"/>
  <c r="V37" i="1"/>
  <c r="K55" i="1"/>
  <c r="F55" i="1" s="1"/>
  <c r="F57" i="1"/>
  <c r="N54" i="1"/>
  <c r="N65" i="1" s="1"/>
  <c r="AE57" i="1"/>
  <c r="AE55" i="1" s="1"/>
  <c r="AE54" i="1" s="1"/>
  <c r="AE64" i="1" s="1"/>
  <c r="AE31" i="1"/>
  <c r="AD30" i="1"/>
  <c r="AB54" i="1"/>
  <c r="AA60" i="1"/>
  <c r="V60" i="1" s="1"/>
  <c r="V36" i="1"/>
  <c r="V63" i="1" l="1"/>
  <c r="W54" i="1"/>
  <c r="AB64" i="1"/>
  <c r="W64" i="1" s="1"/>
  <c r="W65" i="1" s="1"/>
  <c r="G65" i="1"/>
  <c r="J61" i="1"/>
  <c r="I37" i="1"/>
  <c r="D37" i="1" s="1"/>
  <c r="E37" i="1"/>
  <c r="AD40" i="1"/>
  <c r="AC40" i="1" s="1"/>
  <c r="AC30" i="1" s="1"/>
  <c r="AC41" i="1" s="1"/>
  <c r="AD38" i="1"/>
  <c r="AD36" i="1"/>
  <c r="AD39" i="1"/>
  <c r="AD37" i="1"/>
  <c r="J60" i="1"/>
  <c r="I36" i="1"/>
  <c r="D36" i="1" s="1"/>
  <c r="E36" i="1"/>
  <c r="V57" i="1"/>
  <c r="AA55" i="1"/>
  <c r="V55" i="1" s="1"/>
  <c r="J63" i="1"/>
  <c r="I39" i="1"/>
  <c r="D39" i="1" s="1"/>
  <c r="E39" i="1"/>
  <c r="Z40" i="1"/>
  <c r="U40" i="1" s="1"/>
  <c r="U30" i="1"/>
  <c r="Z33" i="1"/>
  <c r="Z36" i="1"/>
  <c r="Z39" i="1"/>
  <c r="Z37" i="1"/>
  <c r="Z38" i="1"/>
  <c r="K54" i="1"/>
  <c r="J62" i="1"/>
  <c r="I38" i="1"/>
  <c r="D38" i="1" s="1"/>
  <c r="E38" i="1"/>
  <c r="I40" i="1"/>
  <c r="E40" i="1"/>
  <c r="AD63" i="1" l="1"/>
  <c r="AC39" i="1"/>
  <c r="Z61" i="1"/>
  <c r="U61" i="1" s="1"/>
  <c r="U37" i="1"/>
  <c r="J54" i="1"/>
  <c r="I63" i="1"/>
  <c r="D63" i="1" s="1"/>
  <c r="E63" i="1"/>
  <c r="AD60" i="1"/>
  <c r="AC60" i="1" s="1"/>
  <c r="AC36" i="1"/>
  <c r="I62" i="1"/>
  <c r="D62" i="1" s="1"/>
  <c r="E62" i="1"/>
  <c r="Z63" i="1"/>
  <c r="U39" i="1"/>
  <c r="I60" i="1"/>
  <c r="D60" i="1" s="1"/>
  <c r="E60" i="1"/>
  <c r="AD62" i="1"/>
  <c r="AC62" i="1" s="1"/>
  <c r="AC38" i="1"/>
  <c r="I61" i="1"/>
  <c r="D61" i="1" s="1"/>
  <c r="E61" i="1"/>
  <c r="Z62" i="1"/>
  <c r="U62" i="1" s="1"/>
  <c r="U38" i="1"/>
  <c r="Z57" i="1"/>
  <c r="U33" i="1"/>
  <c r="Z31" i="1"/>
  <c r="U31" i="1" s="1"/>
  <c r="Y30" i="1"/>
  <c r="I30" i="1"/>
  <c r="D40" i="1"/>
  <c r="F54" i="1"/>
  <c r="K64" i="1"/>
  <c r="F64" i="1" s="1"/>
  <c r="Z60" i="1"/>
  <c r="U60" i="1" s="1"/>
  <c r="U36" i="1"/>
  <c r="AC37" i="1"/>
  <c r="AD61" i="1"/>
  <c r="AC61" i="1" s="1"/>
  <c r="AA54" i="1"/>
  <c r="I41" i="1" l="1"/>
  <c r="D30" i="1"/>
  <c r="D41" i="1" s="1"/>
  <c r="U63" i="1"/>
  <c r="V54" i="1"/>
  <c r="AA64" i="1"/>
  <c r="V64" i="1" s="1"/>
  <c r="U57" i="1"/>
  <c r="Z55" i="1"/>
  <c r="U55" i="1" s="1"/>
  <c r="F65" i="1"/>
  <c r="Y40" i="1"/>
  <c r="T30" i="1"/>
  <c r="Y39" i="1"/>
  <c r="Y38" i="1"/>
  <c r="Y36" i="1"/>
  <c r="Y37" i="1"/>
  <c r="J64" i="1"/>
  <c r="E54" i="1"/>
  <c r="AD54" i="1"/>
  <c r="AD64" i="1" s="1"/>
  <c r="AC64" i="1" s="1"/>
  <c r="AC63" i="1"/>
  <c r="Y63" i="1" l="1"/>
  <c r="X39" i="1"/>
  <c r="S39" i="1" s="1"/>
  <c r="T39" i="1"/>
  <c r="Y61" i="1"/>
  <c r="X37" i="1"/>
  <c r="S37" i="1" s="1"/>
  <c r="T37" i="1"/>
  <c r="AC54" i="1"/>
  <c r="AC65" i="1" s="1"/>
  <c r="Y60" i="1"/>
  <c r="X36" i="1"/>
  <c r="S36" i="1" s="1"/>
  <c r="T36" i="1"/>
  <c r="T40" i="1"/>
  <c r="X40" i="1"/>
  <c r="V65" i="1"/>
  <c r="I64" i="1"/>
  <c r="E64" i="1"/>
  <c r="E65" i="1" s="1"/>
  <c r="Z54" i="1"/>
  <c r="Y62" i="1"/>
  <c r="X38" i="1"/>
  <c r="S38" i="1" s="1"/>
  <c r="T38" i="1"/>
  <c r="X61" i="1" l="1"/>
  <c r="S61" i="1" s="1"/>
  <c r="T61" i="1"/>
  <c r="I65" i="1"/>
  <c r="D64" i="1"/>
  <c r="I54" i="1"/>
  <c r="D54" i="1" s="1"/>
  <c r="X62" i="1"/>
  <c r="S62" i="1" s="1"/>
  <c r="T62" i="1"/>
  <c r="Z64" i="1"/>
  <c r="U64" i="1" s="1"/>
  <c r="U65" i="1" s="1"/>
  <c r="U54" i="1"/>
  <c r="S40" i="1"/>
  <c r="X30" i="1"/>
  <c r="T60" i="1"/>
  <c r="X60" i="1"/>
  <c r="S60" i="1" s="1"/>
  <c r="X63" i="1"/>
  <c r="S63" i="1" s="1"/>
  <c r="T63" i="1"/>
  <c r="Y54" i="1"/>
  <c r="Y64" i="1" l="1"/>
  <c r="T54" i="1"/>
  <c r="D65" i="1"/>
  <c r="X41" i="1"/>
  <c r="S30" i="1"/>
  <c r="X64" i="1" l="1"/>
  <c r="T64" i="1"/>
  <c r="T65" i="1" s="1"/>
  <c r="S64" i="1" l="1"/>
  <c r="X54" i="1"/>
  <c r="S54" i="1" s="1"/>
  <c r="S65" i="1" l="1"/>
  <c r="X65" i="1"/>
</calcChain>
</file>

<file path=xl/sharedStrings.xml><?xml version="1.0" encoding="utf-8"?>
<sst xmlns="http://schemas.openxmlformats.org/spreadsheetml/2006/main" count="1305" uniqueCount="62">
  <si>
    <t>Баланс мощности</t>
  </si>
  <si>
    <t>Показатели</t>
  </si>
  <si>
    <t>Единица измерений</t>
  </si>
  <si>
    <t>Факт 2019 года</t>
  </si>
  <si>
    <t>Предложение организации на 2021 год</t>
  </si>
  <si>
    <t>год</t>
  </si>
  <si>
    <t>1 полугодие</t>
  </si>
  <si>
    <t>2 полугодие</t>
  </si>
  <si>
    <t>Всего</t>
  </si>
  <si>
    <t>ВН</t>
  </si>
  <si>
    <t>СН1</t>
  </si>
  <si>
    <t>СН2</t>
  </si>
  <si>
    <t>НН</t>
  </si>
  <si>
    <t>Поступление мощности в сеть</t>
  </si>
  <si>
    <t>МВт</t>
  </si>
  <si>
    <t>из смежной сети, всего</t>
  </si>
  <si>
    <t>х</t>
  </si>
  <si>
    <t xml:space="preserve">    в том числе из сети</t>
  </si>
  <si>
    <t>от электростанций</t>
  </si>
  <si>
    <t>от ПАО "ФСК ЕЭС"</t>
  </si>
  <si>
    <t>от ПАО "МОЭСК"</t>
  </si>
  <si>
    <t>от других сетевых организаций</t>
  </si>
  <si>
    <t>Потери в сетях</t>
  </si>
  <si>
    <t>%</t>
  </si>
  <si>
    <t>Мощность на производственные и хозяйственные нужды</t>
  </si>
  <si>
    <t>Отпуск из сети (полезный отпуск) мощности</t>
  </si>
  <si>
    <t>Заявленная мощность сторонних потребителей (субабонентов)</t>
  </si>
  <si>
    <t>Переток в другие сетевые организации</t>
  </si>
  <si>
    <t>Заявленная мощность  на собственное потребление</t>
  </si>
  <si>
    <t>Проверка</t>
  </si>
  <si>
    <t>Баланс ТРАНЗИТА мощности без учета собственного потребления</t>
  </si>
  <si>
    <t>Ед. изм.</t>
  </si>
  <si>
    <t>Баланс СОБСТВЕННОГО ПОТРЕБЛЕНИЯ мощности без учета транзита</t>
  </si>
  <si>
    <t>Поступление электроэнергии в сеть</t>
  </si>
  <si>
    <t>млн. кВт.ч.</t>
  </si>
  <si>
    <t>Поступление электроэнергии от других сетевых организаций</t>
  </si>
  <si>
    <t>Расход электроэнергии на производственные и хозяйственные нужды</t>
  </si>
  <si>
    <t>Расшифровка п. 1.5. (Поступление от других сетевых организаций)</t>
  </si>
  <si>
    <t>Наименование других сетевых организаций</t>
  </si>
  <si>
    <t>ООО "СК МосОблЭлектро"</t>
  </si>
  <si>
    <t>Серпуховская гор. Сеть</t>
  </si>
  <si>
    <t>Итого</t>
  </si>
  <si>
    <t xml:space="preserve">Расшифровка п. 4.3. (Полезный отпуск - переток в другие сетевые организации) </t>
  </si>
  <si>
    <t xml:space="preserve"> ПАО "МОЭсК"</t>
  </si>
  <si>
    <t>АО "Мособлэнерго" (филиал Сергиево-Посадские ЭС Дубненское ПО)</t>
  </si>
  <si>
    <t>АО "Мособлэнерго" (филиал Мытищинские ЭС)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</si>
  <si>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</si>
  <si>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</si>
  <si>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АО "Мосэнергосбыт"</t>
  </si>
  <si>
    <t>Баланс электроэнергиии</t>
  </si>
  <si>
    <t xml:space="preserve">Отпуск из сети (полезный отпуск ), в т.ч. для
</t>
  </si>
  <si>
    <t>передачи сторонним потребителям (субабонентам)</t>
  </si>
  <si>
    <t>Сальдо-переток в другие сетевые организации</t>
  </si>
  <si>
    <t>Собственное потребление</t>
  </si>
  <si>
    <t>Х</t>
  </si>
  <si>
    <t>Баланс ТРАНЗИТА электроэнергии без учета собственного потребления</t>
  </si>
  <si>
    <t>Полезный отпуск электроэнергии потребителям</t>
  </si>
  <si>
    <t xml:space="preserve"> потребителям сети</t>
  </si>
  <si>
    <t>Баланс СОБСТВЕННОГО ПОТРЕБЛЕНИЯ  электроэнергии без учета транзита</t>
  </si>
  <si>
    <t>Расшифровка Поступление от других сетевых организаций</t>
  </si>
  <si>
    <t>Расшифровка Сальдо-переток в другие сетевые организации</t>
  </si>
  <si>
    <t>Расшифровка Полезный отпуск потребителям,  присоединенным к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</si>
</sst>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#,##0.0000"/>
    <numFmt numFmtId="167" formatCode="#,##0.0000_ ;\-#,##0.0000\ "/>
    <numFmt numFmtId="168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1"/>
      <color rgb="FF0000FF"/>
      <name val="Calibri"/>
      <family val="2"/>
      <charset val="204"/>
      <scheme val="minor"/>
    </font>
    <font>
      <i/>
      <sz val="10"/>
      <color rgb="FFC0504D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2FF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2FFD2"/>
        <bgColor rgb="FF000000"/>
      </patternFill>
    </fill>
    <fill>
      <patternFill patternType="solid">
        <fgColor rgb="FFFFFFCC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52" applyBorder="0">
      <alignment horizontal="center" vertical="center" wrapText="1"/>
    </xf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375">
    <xf numFmtId="0" fontId="0" fillId="0" borderId="0" xfId="0"/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Protection="1">
      <protection hidden="1"/>
    </xf>
    <xf numFmtId="0" fontId="2" fillId="3" borderId="10" xfId="0" applyFont="1" applyFill="1" applyBorder="1" applyProtection="1">
      <protection locked="0"/>
    </xf>
    <xf numFmtId="0" fontId="2" fillId="0" borderId="0" xfId="2" applyFont="1" applyProtection="1"/>
    <xf numFmtId="0" fontId="3" fillId="0" borderId="0" xfId="2" applyNumberFormat="1" applyFont="1" applyAlignment="1" applyProtection="1">
      <alignment horizontal="left"/>
    </xf>
    <xf numFmtId="0" fontId="2" fillId="0" borderId="0" xfId="2" applyFont="1" applyAlignment="1" applyProtection="1">
      <alignment horizontal="center"/>
    </xf>
    <xf numFmtId="0" fontId="2" fillId="0" borderId="0" xfId="2" applyNumberFormat="1" applyFont="1" applyAlignment="1" applyProtection="1">
      <alignment horizontal="right"/>
    </xf>
    <xf numFmtId="0" fontId="2" fillId="0" borderId="0" xfId="0" applyFont="1"/>
    <xf numFmtId="164" fontId="2" fillId="4" borderId="14" xfId="2" applyNumberFormat="1" applyFont="1" applyFill="1" applyBorder="1" applyAlignment="1" applyProtection="1">
      <alignment horizontal="center" vertical="center" wrapText="1"/>
    </xf>
    <xf numFmtId="164" fontId="2" fillId="4" borderId="15" xfId="2" applyNumberFormat="1" applyFont="1" applyFill="1" applyBorder="1" applyAlignment="1" applyProtection="1">
      <alignment horizontal="center" vertical="center" wrapText="1"/>
    </xf>
    <xf numFmtId="164" fontId="2" fillId="4" borderId="24" xfId="2" applyNumberFormat="1" applyFont="1" applyFill="1" applyBorder="1" applyAlignment="1" applyProtection="1">
      <alignment horizontal="center" vertical="center" wrapText="1"/>
    </xf>
    <xf numFmtId="164" fontId="2" fillId="4" borderId="16" xfId="2" applyNumberFormat="1" applyFont="1" applyFill="1" applyBorder="1" applyAlignment="1" applyProtection="1">
      <alignment horizontal="center" vertical="center" wrapText="1"/>
    </xf>
    <xf numFmtId="0" fontId="3" fillId="5" borderId="18" xfId="2" applyFont="1" applyFill="1" applyBorder="1" applyAlignment="1" applyProtection="1">
      <alignment vertical="top" wrapText="1"/>
    </xf>
    <xf numFmtId="0" fontId="3" fillId="5" borderId="25" xfId="2" applyFont="1" applyFill="1" applyBorder="1" applyAlignment="1" applyProtection="1">
      <alignment horizontal="center" vertical="top" wrapText="1"/>
    </xf>
    <xf numFmtId="166" fontId="3" fillId="2" borderId="26" xfId="3" applyNumberFormat="1" applyFont="1" applyFill="1" applyBorder="1" applyAlignment="1" applyProtection="1">
      <alignment horizontal="right"/>
    </xf>
    <xf numFmtId="166" fontId="3" fillId="2" borderId="5" xfId="3" applyNumberFormat="1" applyFont="1" applyFill="1" applyBorder="1" applyAlignment="1" applyProtection="1">
      <alignment horizontal="right"/>
    </xf>
    <xf numFmtId="166" fontId="3" fillId="2" borderId="27" xfId="3" applyNumberFormat="1" applyFont="1" applyFill="1" applyBorder="1" applyAlignment="1" applyProtection="1">
      <alignment horizontal="right"/>
    </xf>
    <xf numFmtId="166" fontId="3" fillId="2" borderId="4" xfId="3" applyNumberFormat="1" applyFont="1" applyFill="1" applyBorder="1" applyAlignment="1" applyProtection="1">
      <alignment horizontal="right"/>
    </xf>
    <xf numFmtId="166" fontId="3" fillId="2" borderId="6" xfId="3" applyNumberFormat="1" applyFont="1" applyFill="1" applyBorder="1" applyAlignment="1" applyProtection="1">
      <alignment horizontal="right"/>
    </xf>
    <xf numFmtId="0" fontId="2" fillId="5" borderId="21" xfId="2" applyFont="1" applyFill="1" applyBorder="1" applyAlignment="1" applyProtection="1">
      <alignment vertical="top" wrapText="1"/>
    </xf>
    <xf numFmtId="0" fontId="2" fillId="5" borderId="28" xfId="2" applyFont="1" applyFill="1" applyBorder="1" applyAlignment="1" applyProtection="1">
      <alignment horizontal="center" vertical="top" wrapText="1"/>
    </xf>
    <xf numFmtId="166" fontId="2" fillId="5" borderId="12" xfId="3" applyNumberFormat="1" applyFont="1" applyFill="1" applyBorder="1" applyAlignment="1" applyProtection="1">
      <alignment horizontal="center"/>
    </xf>
    <xf numFmtId="166" fontId="2" fillId="5" borderId="8" xfId="3" applyNumberFormat="1" applyFont="1" applyFill="1" applyBorder="1" applyAlignment="1" applyProtection="1">
      <alignment horizontal="center"/>
    </xf>
    <xf numFmtId="166" fontId="2" fillId="2" borderId="8" xfId="3" applyNumberFormat="1" applyFont="1" applyFill="1" applyBorder="1" applyAlignment="1" applyProtection="1">
      <alignment horizontal="right"/>
    </xf>
    <xf numFmtId="166" fontId="2" fillId="2" borderId="10" xfId="3" applyNumberFormat="1" applyFont="1" applyFill="1" applyBorder="1" applyAlignment="1" applyProtection="1">
      <alignment horizontal="right"/>
    </xf>
    <xf numFmtId="166" fontId="2" fillId="5" borderId="7" xfId="3" applyNumberFormat="1" applyFont="1" applyFill="1" applyBorder="1" applyAlignment="1" applyProtection="1">
      <alignment horizontal="center"/>
    </xf>
    <xf numFmtId="166" fontId="3" fillId="2" borderId="8" xfId="3" applyNumberFormat="1" applyFont="1" applyFill="1" applyBorder="1" applyAlignment="1" applyProtection="1">
      <alignment horizontal="right"/>
    </xf>
    <xf numFmtId="166" fontId="3" fillId="2" borderId="9" xfId="3" applyNumberFormat="1" applyFont="1" applyFill="1" applyBorder="1" applyAlignment="1" applyProtection="1">
      <alignment horizontal="right"/>
    </xf>
    <xf numFmtId="166" fontId="2" fillId="5" borderId="10" xfId="3" applyNumberFormat="1" applyFont="1" applyFill="1" applyBorder="1" applyAlignment="1" applyProtection="1">
      <alignment horizontal="center"/>
    </xf>
    <xf numFmtId="166" fontId="2" fillId="5" borderId="9" xfId="3" applyNumberFormat="1" applyFont="1" applyFill="1" applyBorder="1" applyAlignment="1" applyProtection="1">
      <alignment horizontal="center"/>
    </xf>
    <xf numFmtId="0" fontId="2" fillId="0" borderId="21" xfId="2" applyFont="1" applyBorder="1" applyAlignment="1" applyProtection="1">
      <alignment vertical="top" wrapText="1"/>
    </xf>
    <xf numFmtId="0" fontId="2" fillId="0" borderId="28" xfId="2" applyFont="1" applyBorder="1" applyAlignment="1" applyProtection="1">
      <alignment horizontal="center" vertical="top" wrapText="1"/>
    </xf>
    <xf numFmtId="166" fontId="2" fillId="0" borderId="12" xfId="3" applyNumberFormat="1" applyFont="1" applyFill="1" applyBorder="1" applyAlignment="1" applyProtection="1">
      <alignment horizontal="center"/>
    </xf>
    <xf numFmtId="166" fontId="2" fillId="0" borderId="8" xfId="3" applyNumberFormat="1" applyFont="1" applyFill="1" applyBorder="1" applyAlignment="1" applyProtection="1">
      <alignment horizontal="center"/>
    </xf>
    <xf numFmtId="166" fontId="2" fillId="0" borderId="7" xfId="3" applyNumberFormat="1" applyFont="1" applyFill="1" applyBorder="1" applyAlignment="1" applyProtection="1">
      <alignment horizontal="center"/>
    </xf>
    <xf numFmtId="166" fontId="2" fillId="3" borderId="8" xfId="3" applyNumberFormat="1" applyFont="1" applyFill="1" applyBorder="1" applyAlignment="1" applyProtection="1">
      <alignment horizontal="right"/>
      <protection locked="0"/>
    </xf>
    <xf numFmtId="166" fontId="2" fillId="2" borderId="12" xfId="3" applyNumberFormat="1" applyFont="1" applyFill="1" applyBorder="1" applyAlignment="1" applyProtection="1">
      <alignment horizontal="right"/>
    </xf>
    <xf numFmtId="166" fontId="3" fillId="2" borderId="7" xfId="3" applyNumberFormat="1" applyFont="1" applyFill="1" applyBorder="1" applyAlignment="1" applyProtection="1">
      <alignment horizontal="right"/>
    </xf>
    <xf numFmtId="0" fontId="3" fillId="4" borderId="30" xfId="2" applyFont="1" applyFill="1" applyBorder="1" applyAlignment="1" applyProtection="1">
      <alignment horizontal="center" vertical="top" wrapText="1"/>
    </xf>
    <xf numFmtId="166" fontId="3" fillId="2" borderId="12" xfId="3" applyNumberFormat="1" applyFont="1" applyFill="1" applyBorder="1" applyAlignment="1" applyProtection="1">
      <alignment horizontal="right"/>
    </xf>
    <xf numFmtId="166" fontId="3" fillId="2" borderId="10" xfId="3" applyNumberFormat="1" applyFont="1" applyFill="1" applyBorder="1" applyAlignment="1" applyProtection="1">
      <alignment horizontal="right"/>
    </xf>
    <xf numFmtId="0" fontId="2" fillId="5" borderId="22" xfId="2" applyFont="1" applyFill="1" applyBorder="1" applyAlignment="1" applyProtection="1">
      <alignment horizontal="center" vertical="top" wrapText="1"/>
    </xf>
    <xf numFmtId="0" fontId="3" fillId="0" borderId="21" xfId="2" applyFont="1" applyBorder="1" applyAlignment="1" applyProtection="1">
      <alignment vertical="top" wrapText="1"/>
    </xf>
    <xf numFmtId="0" fontId="3" fillId="0" borderId="28" xfId="2" applyFont="1" applyBorder="1" applyAlignment="1" applyProtection="1">
      <alignment horizontal="center" vertical="top" wrapText="1"/>
    </xf>
    <xf numFmtId="0" fontId="3" fillId="5" borderId="21" xfId="2" applyFont="1" applyFill="1" applyBorder="1" applyAlignment="1" applyProtection="1">
      <alignment vertical="top" wrapText="1"/>
    </xf>
    <xf numFmtId="0" fontId="3" fillId="5" borderId="28" xfId="2" applyFont="1" applyFill="1" applyBorder="1" applyAlignment="1" applyProtection="1">
      <alignment horizontal="center" vertical="top" wrapText="1"/>
    </xf>
    <xf numFmtId="0" fontId="2" fillId="5" borderId="21" xfId="2" applyFont="1" applyFill="1" applyBorder="1" applyAlignment="1" applyProtection="1">
      <alignment horizontal="left" vertical="top" wrapText="1" indent="1"/>
    </xf>
    <xf numFmtId="0" fontId="2" fillId="0" borderId="32" xfId="2" applyFont="1" applyBorder="1" applyAlignment="1" applyProtection="1">
      <alignment vertical="top" wrapText="1"/>
    </xf>
    <xf numFmtId="0" fontId="2" fillId="0" borderId="33" xfId="2" applyFont="1" applyBorder="1" applyAlignment="1" applyProtection="1">
      <alignment horizontal="center" vertical="top" wrapText="1"/>
    </xf>
    <xf numFmtId="166" fontId="2" fillId="2" borderId="34" xfId="3" applyNumberFormat="1" applyFont="1" applyFill="1" applyBorder="1" applyAlignment="1" applyProtection="1">
      <alignment horizontal="right"/>
    </xf>
    <xf numFmtId="166" fontId="2" fillId="2" borderId="29" xfId="3" applyNumberFormat="1" applyFont="1" applyFill="1" applyBorder="1" applyAlignment="1" applyProtection="1">
      <alignment horizontal="right"/>
    </xf>
    <xf numFmtId="166" fontId="2" fillId="2" borderId="35" xfId="3" applyNumberFormat="1" applyFont="1" applyFill="1" applyBorder="1" applyAlignment="1" applyProtection="1">
      <alignment horizontal="right"/>
    </xf>
    <xf numFmtId="166" fontId="3" fillId="2" borderId="36" xfId="3" applyNumberFormat="1" applyFont="1" applyFill="1" applyBorder="1" applyAlignment="1" applyProtection="1">
      <alignment horizontal="right"/>
    </xf>
    <xf numFmtId="0" fontId="3" fillId="5" borderId="37" xfId="2" applyFont="1" applyFill="1" applyBorder="1" applyAlignment="1" applyProtection="1">
      <alignment vertical="top" wrapText="1"/>
    </xf>
    <xf numFmtId="0" fontId="3" fillId="0" borderId="38" xfId="2" applyFont="1" applyBorder="1" applyAlignment="1" applyProtection="1">
      <alignment horizontal="center" vertical="top" wrapText="1"/>
    </xf>
    <xf numFmtId="166" fontId="3" fillId="2" borderId="39" xfId="3" applyNumberFormat="1" applyFont="1" applyFill="1" applyBorder="1" applyAlignment="1" applyProtection="1">
      <alignment horizontal="right"/>
    </xf>
    <xf numFmtId="166" fontId="3" fillId="2" borderId="40" xfId="3" applyNumberFormat="1" applyFont="1" applyFill="1" applyBorder="1" applyAlignment="1" applyProtection="1">
      <alignment horizontal="right"/>
    </xf>
    <xf numFmtId="166" fontId="3" fillId="2" borderId="41" xfId="3" applyNumberFormat="1" applyFont="1" applyFill="1" applyBorder="1" applyAlignment="1" applyProtection="1">
      <alignment horizontal="right"/>
    </xf>
    <xf numFmtId="166" fontId="3" fillId="2" borderId="42" xfId="3" applyNumberFormat="1" applyFont="1" applyFill="1" applyBorder="1" applyAlignment="1" applyProtection="1">
      <alignment horizontal="right"/>
    </xf>
    <xf numFmtId="0" fontId="4" fillId="0" borderId="0" xfId="2" applyFont="1" applyProtection="1"/>
    <xf numFmtId="0" fontId="4" fillId="0" borderId="2" xfId="2" applyFont="1" applyBorder="1" applyAlignment="1" applyProtection="1">
      <alignment vertical="top" wrapText="1"/>
    </xf>
    <xf numFmtId="166" fontId="4" fillId="5" borderId="43" xfId="3" applyNumberFormat="1" applyFont="1" applyFill="1" applyBorder="1" applyAlignment="1" applyProtection="1">
      <alignment horizontal="center" vertical="center"/>
    </xf>
    <xf numFmtId="166" fontId="4" fillId="5" borderId="44" xfId="3" applyNumberFormat="1" applyFont="1" applyFill="1" applyBorder="1" applyAlignment="1" applyProtection="1">
      <alignment horizontal="center" vertical="center"/>
    </xf>
    <xf numFmtId="166" fontId="4" fillId="2" borderId="45" xfId="3" applyNumberFormat="1" applyFont="1" applyFill="1" applyBorder="1" applyAlignment="1" applyProtection="1">
      <alignment horizontal="right"/>
    </xf>
    <xf numFmtId="166" fontId="4" fillId="2" borderId="46" xfId="3" applyNumberFormat="1" applyFont="1" applyFill="1" applyBorder="1" applyAlignment="1" applyProtection="1">
      <alignment horizontal="right"/>
    </xf>
    <xf numFmtId="166" fontId="4" fillId="2" borderId="47" xfId="3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4" fillId="0" borderId="0" xfId="2" applyNumberFormat="1" applyFont="1" applyAlignment="1" applyProtection="1">
      <alignment horizontal="right"/>
    </xf>
    <xf numFmtId="0" fontId="4" fillId="0" borderId="0" xfId="0" applyFont="1"/>
    <xf numFmtId="0" fontId="4" fillId="0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horizontal="center" vertical="top" wrapText="1"/>
    </xf>
    <xf numFmtId="167" fontId="4" fillId="0" borderId="0" xfId="3" applyNumberFormat="1" applyFont="1" applyFill="1" applyBorder="1" applyAlignment="1" applyProtection="1">
      <alignment horizontal="center" vertical="center"/>
    </xf>
    <xf numFmtId="167" fontId="4" fillId="0" borderId="0" xfId="3" applyNumberFormat="1" applyFont="1" applyFill="1" applyBorder="1" applyAlignment="1" applyProtection="1">
      <alignment horizontal="right"/>
    </xf>
    <xf numFmtId="167" fontId="3" fillId="0" borderId="0" xfId="3" applyNumberFormat="1" applyFont="1" applyFill="1" applyBorder="1" applyAlignment="1" applyProtection="1">
      <alignment horizontal="right"/>
    </xf>
    <xf numFmtId="164" fontId="2" fillId="4" borderId="36" xfId="2" applyNumberFormat="1" applyFont="1" applyFill="1" applyBorder="1" applyAlignment="1" applyProtection="1">
      <alignment horizontal="center" vertical="center" wrapText="1"/>
    </xf>
    <xf numFmtId="164" fontId="2" fillId="4" borderId="29" xfId="2" applyNumberFormat="1" applyFont="1" applyFill="1" applyBorder="1" applyAlignment="1" applyProtection="1">
      <alignment horizontal="center" vertical="center" wrapText="1"/>
    </xf>
    <xf numFmtId="0" fontId="3" fillId="5" borderId="25" xfId="2" applyFont="1" applyFill="1" applyBorder="1" applyAlignment="1" applyProtection="1">
      <alignment vertical="top" wrapText="1"/>
    </xf>
    <xf numFmtId="0" fontId="3" fillId="5" borderId="49" xfId="2" applyFont="1" applyFill="1" applyBorder="1" applyAlignment="1" applyProtection="1">
      <alignment horizontal="center" vertical="top" wrapText="1"/>
    </xf>
    <xf numFmtId="167" fontId="3" fillId="2" borderId="4" xfId="3" applyNumberFormat="1" applyFont="1" applyFill="1" applyBorder="1" applyAlignment="1" applyProtection="1">
      <alignment horizontal="right"/>
    </xf>
    <xf numFmtId="167" fontId="3" fillId="2" borderId="5" xfId="3" applyNumberFormat="1" applyFont="1" applyFill="1" applyBorder="1" applyAlignment="1" applyProtection="1">
      <alignment horizontal="right"/>
    </xf>
    <xf numFmtId="167" fontId="3" fillId="2" borderId="27" xfId="3" applyNumberFormat="1" applyFont="1" applyFill="1" applyBorder="1" applyAlignment="1" applyProtection="1">
      <alignment horizontal="right"/>
    </xf>
    <xf numFmtId="167" fontId="3" fillId="2" borderId="6" xfId="3" applyNumberFormat="1" applyFont="1" applyFill="1" applyBorder="1" applyAlignment="1" applyProtection="1">
      <alignment horizontal="right"/>
    </xf>
    <xf numFmtId="0" fontId="2" fillId="5" borderId="28" xfId="2" applyFont="1" applyFill="1" applyBorder="1" applyAlignment="1" applyProtection="1">
      <alignment horizontal="left" vertical="top" wrapText="1"/>
    </xf>
    <xf numFmtId="0" fontId="2" fillId="5" borderId="11" xfId="2" applyFont="1" applyFill="1" applyBorder="1" applyAlignment="1" applyProtection="1">
      <alignment horizontal="center" vertical="top" wrapText="1"/>
    </xf>
    <xf numFmtId="167" fontId="2" fillId="4" borderId="7" xfId="3" applyNumberFormat="1" applyFont="1" applyFill="1" applyBorder="1" applyAlignment="1" applyProtection="1">
      <alignment horizontal="center"/>
    </xf>
    <xf numFmtId="167" fontId="2" fillId="4" borderId="8" xfId="3" applyNumberFormat="1" applyFont="1" applyFill="1" applyBorder="1" applyAlignment="1" applyProtection="1">
      <alignment horizontal="center"/>
    </xf>
    <xf numFmtId="167" fontId="2" fillId="2" borderId="8" xfId="3" applyNumberFormat="1" applyFont="1" applyFill="1" applyBorder="1" applyAlignment="1" applyProtection="1">
      <alignment horizontal="right"/>
    </xf>
    <xf numFmtId="167" fontId="2" fillId="2" borderId="10" xfId="3" applyNumberFormat="1" applyFont="1" applyFill="1" applyBorder="1" applyAlignment="1" applyProtection="1">
      <alignment horizontal="right"/>
    </xf>
    <xf numFmtId="167" fontId="2" fillId="2" borderId="9" xfId="3" applyNumberFormat="1" applyFont="1" applyFill="1" applyBorder="1" applyAlignment="1" applyProtection="1">
      <alignment horizontal="right"/>
    </xf>
    <xf numFmtId="167" fontId="2" fillId="4" borderId="10" xfId="3" applyNumberFormat="1" applyFont="1" applyFill="1" applyBorder="1" applyAlignment="1" applyProtection="1">
      <alignment horizontal="center"/>
    </xf>
    <xf numFmtId="167" fontId="2" fillId="4" borderId="9" xfId="3" applyNumberFormat="1" applyFont="1" applyFill="1" applyBorder="1" applyAlignment="1" applyProtection="1">
      <alignment horizontal="center"/>
    </xf>
    <xf numFmtId="0" fontId="2" fillId="0" borderId="28" xfId="2" applyFont="1" applyBorder="1" applyAlignment="1" applyProtection="1">
      <alignment horizontal="left" vertical="top" wrapText="1"/>
    </xf>
    <xf numFmtId="0" fontId="2" fillId="0" borderId="11" xfId="2" applyFont="1" applyBorder="1" applyAlignment="1" applyProtection="1">
      <alignment horizontal="center" vertical="top" wrapText="1"/>
    </xf>
    <xf numFmtId="167" fontId="2" fillId="0" borderId="7" xfId="3" applyNumberFormat="1" applyFont="1" applyFill="1" applyBorder="1" applyAlignment="1" applyProtection="1">
      <alignment horizontal="center"/>
    </xf>
    <xf numFmtId="167" fontId="2" fillId="0" borderId="8" xfId="3" applyNumberFormat="1" applyFont="1" applyFill="1" applyBorder="1" applyAlignment="1" applyProtection="1">
      <alignment horizontal="center"/>
    </xf>
    <xf numFmtId="167" fontId="2" fillId="4" borderId="10" xfId="3" applyNumberFormat="1" applyFont="1" applyFill="1" applyBorder="1" applyAlignment="1" applyProtection="1">
      <alignment horizontal="center" vertical="center"/>
    </xf>
    <xf numFmtId="167" fontId="2" fillId="4" borderId="9" xfId="3" applyNumberFormat="1" applyFont="1" applyFill="1" applyBorder="1" applyAlignment="1" applyProtection="1">
      <alignment horizontal="center" vertical="center"/>
    </xf>
    <xf numFmtId="167" fontId="2" fillId="2" borderId="7" xfId="3" applyNumberFormat="1" applyFont="1" applyFill="1" applyBorder="1" applyAlignment="1" applyProtection="1">
      <alignment horizontal="right"/>
    </xf>
    <xf numFmtId="0" fontId="2" fillId="0" borderId="28" xfId="2" applyFont="1" applyBorder="1" applyAlignment="1" applyProtection="1">
      <alignment vertical="top" wrapText="1"/>
    </xf>
    <xf numFmtId="167" fontId="3" fillId="2" borderId="7" xfId="3" applyNumberFormat="1" applyFont="1" applyFill="1" applyBorder="1" applyAlignment="1" applyProtection="1">
      <alignment horizontal="right"/>
    </xf>
    <xf numFmtId="167" fontId="3" fillId="2" borderId="8" xfId="3" applyNumberFormat="1" applyFont="1" applyFill="1" applyBorder="1" applyAlignment="1" applyProtection="1">
      <alignment horizontal="right"/>
    </xf>
    <xf numFmtId="167" fontId="3" fillId="2" borderId="10" xfId="3" applyNumberFormat="1" applyFont="1" applyFill="1" applyBorder="1" applyAlignment="1" applyProtection="1">
      <alignment horizontal="right"/>
    </xf>
    <xf numFmtId="167" fontId="3" fillId="2" borderId="9" xfId="3" applyNumberFormat="1" applyFont="1" applyFill="1" applyBorder="1" applyAlignment="1" applyProtection="1">
      <alignment horizontal="right"/>
    </xf>
    <xf numFmtId="168" fontId="2" fillId="2" borderId="7" xfId="4" applyNumberFormat="1" applyFont="1" applyFill="1" applyBorder="1" applyAlignment="1" applyProtection="1">
      <alignment horizontal="right"/>
    </xf>
    <xf numFmtId="168" fontId="2" fillId="2" borderId="8" xfId="4" applyNumberFormat="1" applyFont="1" applyFill="1" applyBorder="1" applyAlignment="1" applyProtection="1">
      <alignment horizontal="right"/>
    </xf>
    <xf numFmtId="168" fontId="2" fillId="2" borderId="10" xfId="4" applyNumberFormat="1" applyFont="1" applyFill="1" applyBorder="1" applyAlignment="1" applyProtection="1">
      <alignment horizontal="right"/>
    </xf>
    <xf numFmtId="168" fontId="3" fillId="2" borderId="8" xfId="4" applyNumberFormat="1" applyFont="1" applyFill="1" applyBorder="1" applyAlignment="1" applyProtection="1">
      <alignment horizontal="right"/>
    </xf>
    <xf numFmtId="168" fontId="3" fillId="2" borderId="9" xfId="4" applyNumberFormat="1" applyFont="1" applyFill="1" applyBorder="1" applyAlignment="1" applyProtection="1">
      <alignment horizontal="right"/>
    </xf>
    <xf numFmtId="168" fontId="2" fillId="2" borderId="9" xfId="4" applyNumberFormat="1" applyFont="1" applyFill="1" applyBorder="1" applyAlignment="1" applyProtection="1">
      <alignment horizontal="right"/>
    </xf>
    <xf numFmtId="168" fontId="3" fillId="2" borderId="7" xfId="4" applyNumberFormat="1" applyFont="1" applyFill="1" applyBorder="1" applyAlignment="1" applyProtection="1">
      <alignment horizontal="right"/>
    </xf>
    <xf numFmtId="0" fontId="3" fillId="0" borderId="28" xfId="2" applyFont="1" applyBorder="1" applyAlignment="1" applyProtection="1">
      <alignment vertical="top" wrapText="1"/>
    </xf>
    <xf numFmtId="0" fontId="3" fillId="0" borderId="11" xfId="2" applyFont="1" applyBorder="1" applyAlignment="1" applyProtection="1">
      <alignment horizontal="center" vertical="top" wrapText="1"/>
    </xf>
    <xf numFmtId="0" fontId="3" fillId="5" borderId="28" xfId="2" applyFont="1" applyFill="1" applyBorder="1" applyAlignment="1" applyProtection="1">
      <alignment vertical="top" wrapText="1"/>
    </xf>
    <xf numFmtId="0" fontId="3" fillId="5" borderId="11" xfId="2" applyFont="1" applyFill="1" applyBorder="1" applyAlignment="1" applyProtection="1">
      <alignment horizontal="center" vertical="top" wrapText="1"/>
    </xf>
    <xf numFmtId="0" fontId="2" fillId="4" borderId="28" xfId="2" applyFont="1" applyFill="1" applyBorder="1" applyAlignment="1" applyProtection="1">
      <alignment vertical="top" wrapText="1"/>
    </xf>
    <xf numFmtId="0" fontId="2" fillId="4" borderId="11" xfId="2" applyFont="1" applyFill="1" applyBorder="1" applyAlignment="1" applyProtection="1">
      <alignment horizontal="center" vertical="top" wrapText="1"/>
    </xf>
    <xf numFmtId="0" fontId="2" fillId="0" borderId="48" xfId="2" applyFont="1" applyBorder="1" applyAlignment="1" applyProtection="1">
      <alignment vertical="top" wrapText="1"/>
    </xf>
    <xf numFmtId="0" fontId="2" fillId="0" borderId="50" xfId="2" applyFont="1" applyBorder="1" applyAlignment="1" applyProtection="1">
      <alignment horizontal="center" vertical="top" wrapText="1"/>
    </xf>
    <xf numFmtId="167" fontId="2" fillId="2" borderId="14" xfId="3" applyNumberFormat="1" applyFont="1" applyFill="1" applyBorder="1" applyAlignment="1" applyProtection="1">
      <alignment horizontal="right"/>
    </xf>
    <xf numFmtId="167" fontId="2" fillId="2" borderId="15" xfId="3" applyNumberFormat="1" applyFont="1" applyFill="1" applyBorder="1" applyAlignment="1" applyProtection="1">
      <alignment horizontal="right"/>
    </xf>
    <xf numFmtId="167" fontId="2" fillId="2" borderId="16" xfId="3" applyNumberFormat="1" applyFont="1" applyFill="1" applyBorder="1" applyAlignment="1" applyProtection="1">
      <alignment horizontal="right"/>
    </xf>
    <xf numFmtId="167" fontId="4" fillId="2" borderId="14" xfId="3" applyNumberFormat="1" applyFont="1" applyFill="1" applyBorder="1" applyAlignment="1" applyProtection="1">
      <alignment horizontal="right"/>
    </xf>
    <xf numFmtId="167" fontId="4" fillId="2" borderId="15" xfId="3" applyNumberFormat="1" applyFont="1" applyFill="1" applyBorder="1" applyAlignment="1" applyProtection="1">
      <alignment horizontal="right"/>
    </xf>
    <xf numFmtId="167" fontId="4" fillId="2" borderId="24" xfId="3" applyNumberFormat="1" applyFont="1" applyFill="1" applyBorder="1" applyAlignment="1" applyProtection="1">
      <alignment horizontal="right"/>
    </xf>
    <xf numFmtId="167" fontId="4" fillId="2" borderId="16" xfId="3" applyNumberFormat="1" applyFont="1" applyFill="1" applyBorder="1" applyAlignment="1" applyProtection="1">
      <alignment horizontal="right"/>
    </xf>
    <xf numFmtId="167" fontId="4" fillId="2" borderId="43" xfId="3" applyNumberFormat="1" applyFont="1" applyFill="1" applyBorder="1" applyAlignment="1" applyProtection="1">
      <alignment horizontal="right"/>
    </xf>
    <xf numFmtId="167" fontId="4" fillId="2" borderId="45" xfId="3" applyNumberFormat="1" applyFont="1" applyFill="1" applyBorder="1" applyAlignment="1" applyProtection="1">
      <alignment horizontal="right"/>
    </xf>
    <xf numFmtId="167" fontId="4" fillId="2" borderId="47" xfId="3" applyNumberFormat="1" applyFont="1" applyFill="1" applyBorder="1" applyAlignment="1" applyProtection="1">
      <alignment horizontal="right"/>
    </xf>
    <xf numFmtId="0" fontId="3" fillId="5" borderId="51" xfId="2" applyFont="1" applyFill="1" applyBorder="1" applyAlignment="1" applyProtection="1">
      <alignment horizontal="center" vertical="top" wrapText="1"/>
    </xf>
    <xf numFmtId="167" fontId="3" fillId="2" borderId="26" xfId="3" applyNumberFormat="1" applyFont="1" applyFill="1" applyBorder="1" applyAlignment="1" applyProtection="1">
      <alignment horizontal="right"/>
    </xf>
    <xf numFmtId="167" fontId="2" fillId="4" borderId="12" xfId="3" applyNumberFormat="1" applyFont="1" applyFill="1" applyBorder="1" applyAlignment="1" applyProtection="1">
      <alignment horizontal="center"/>
    </xf>
    <xf numFmtId="167" fontId="2" fillId="0" borderId="12" xfId="3" applyNumberFormat="1" applyFont="1" applyFill="1" applyBorder="1" applyAlignment="1" applyProtection="1">
      <alignment horizontal="center"/>
    </xf>
    <xf numFmtId="167" fontId="2" fillId="2" borderId="12" xfId="3" applyNumberFormat="1" applyFont="1" applyFill="1" applyBorder="1" applyAlignment="1" applyProtection="1">
      <alignment horizontal="right"/>
    </xf>
    <xf numFmtId="167" fontId="3" fillId="2" borderId="12" xfId="3" applyNumberFormat="1" applyFont="1" applyFill="1" applyBorder="1" applyAlignment="1" applyProtection="1">
      <alignment horizontal="right"/>
    </xf>
    <xf numFmtId="168" fontId="2" fillId="2" borderId="12" xfId="4" applyNumberFormat="1" applyFont="1" applyFill="1" applyBorder="1" applyAlignment="1" applyProtection="1">
      <alignment horizontal="right"/>
    </xf>
    <xf numFmtId="167" fontId="3" fillId="2" borderId="14" xfId="3" applyNumberFormat="1" applyFont="1" applyFill="1" applyBorder="1" applyAlignment="1" applyProtection="1">
      <alignment horizontal="right"/>
    </xf>
    <xf numFmtId="167" fontId="3" fillId="2" borderId="15" xfId="3" applyNumberFormat="1" applyFont="1" applyFill="1" applyBorder="1" applyAlignment="1" applyProtection="1">
      <alignment horizontal="right"/>
    </xf>
    <xf numFmtId="167" fontId="3" fillId="2" borderId="16" xfId="3" applyNumberFormat="1" applyFont="1" applyFill="1" applyBorder="1" applyAlignment="1" applyProtection="1">
      <alignment horizontal="right"/>
    </xf>
    <xf numFmtId="0" fontId="3" fillId="0" borderId="0" xfId="0" applyFont="1" applyProtection="1"/>
    <xf numFmtId="49" fontId="3" fillId="0" borderId="27" xfId="0" applyNumberFormat="1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 vertical="center"/>
    </xf>
    <xf numFmtId="0" fontId="3" fillId="0" borderId="26" xfId="5" applyFont="1" applyBorder="1" applyProtection="1">
      <alignment horizontal="center" vertical="center" wrapText="1"/>
    </xf>
    <xf numFmtId="0" fontId="3" fillId="0" borderId="5" xfId="5" applyFont="1" applyBorder="1" applyProtection="1">
      <alignment horizontal="center" vertical="center" wrapText="1"/>
    </xf>
    <xf numFmtId="0" fontId="3" fillId="0" borderId="6" xfId="5" applyFont="1" applyBorder="1" applyProtection="1">
      <alignment horizontal="center" vertical="center" wrapText="1"/>
    </xf>
    <xf numFmtId="168" fontId="2" fillId="2" borderId="12" xfId="0" applyNumberFormat="1" applyFont="1" applyFill="1" applyBorder="1" applyProtection="1"/>
    <xf numFmtId="168" fontId="2" fillId="3" borderId="8" xfId="0" applyNumberFormat="1" applyFont="1" applyFill="1" applyBorder="1" applyProtection="1">
      <protection locked="0"/>
    </xf>
    <xf numFmtId="168" fontId="2" fillId="3" borderId="9" xfId="0" applyNumberFormat="1" applyFont="1" applyFill="1" applyBorder="1" applyProtection="1">
      <protection locked="0"/>
    </xf>
    <xf numFmtId="168" fontId="2" fillId="2" borderId="8" xfId="0" applyNumberFormat="1" applyFont="1" applyFill="1" applyBorder="1" applyProtection="1"/>
    <xf numFmtId="0" fontId="2" fillId="0" borderId="0" xfId="2" applyFont="1" applyFill="1" applyProtection="1"/>
    <xf numFmtId="0" fontId="3" fillId="0" borderId="8" xfId="6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3" fillId="0" borderId="41" xfId="7" applyFont="1" applyFill="1" applyBorder="1" applyAlignment="1" applyProtection="1">
      <alignment horizontal="left"/>
    </xf>
    <xf numFmtId="168" fontId="2" fillId="2" borderId="39" xfId="7" applyNumberFormat="1" applyFont="1" applyFill="1" applyBorder="1" applyAlignment="1" applyProtection="1">
      <alignment horizontal="right"/>
    </xf>
    <xf numFmtId="168" fontId="2" fillId="2" borderId="40" xfId="7" applyNumberFormat="1" applyFont="1" applyFill="1" applyBorder="1" applyAlignment="1" applyProtection="1">
      <alignment horizontal="right"/>
    </xf>
    <xf numFmtId="168" fontId="2" fillId="2" borderId="53" xfId="7" applyNumberFormat="1" applyFont="1" applyFill="1" applyBorder="1" applyAlignment="1" applyProtection="1">
      <alignment horizontal="right"/>
    </xf>
    <xf numFmtId="0" fontId="4" fillId="0" borderId="0" xfId="7" applyFont="1" applyFill="1" applyBorder="1" applyAlignment="1" applyProtection="1">
      <alignment horizontal="left"/>
    </xf>
    <xf numFmtId="0" fontId="2" fillId="0" borderId="0" xfId="2" applyFont="1" applyBorder="1" applyAlignment="1" applyProtection="1">
      <alignment horizontal="center" vertical="top" wrapText="1"/>
    </xf>
    <xf numFmtId="168" fontId="2" fillId="0" borderId="0" xfId="7" applyNumberFormat="1" applyFont="1" applyFill="1" applyBorder="1" applyAlignment="1" applyProtection="1">
      <alignment horizontal="right"/>
    </xf>
    <xf numFmtId="0" fontId="2" fillId="0" borderId="0" xfId="2" applyNumberFormat="1" applyFont="1" applyFill="1" applyAlignment="1" applyProtection="1">
      <alignment horizontal="right"/>
    </xf>
    <xf numFmtId="0" fontId="2" fillId="0" borderId="0" xfId="0" applyFont="1" applyBorder="1" applyProtection="1"/>
    <xf numFmtId="49" fontId="3" fillId="0" borderId="5" xfId="0" applyNumberFormat="1" applyFont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Protection="1">
      <protection locked="0"/>
    </xf>
    <xf numFmtId="168" fontId="2" fillId="2" borderId="40" xfId="0" applyNumberFormat="1" applyFont="1" applyFill="1" applyBorder="1" applyAlignment="1" applyProtection="1"/>
    <xf numFmtId="168" fontId="2" fillId="2" borderId="53" xfId="0" applyNumberFormat="1" applyFont="1" applyFill="1" applyBorder="1" applyAlignment="1" applyProtection="1"/>
    <xf numFmtId="0" fontId="2" fillId="0" borderId="0" xfId="7" applyFont="1" applyFill="1" applyBorder="1" applyAlignment="1" applyProtection="1">
      <alignment horizontal="left"/>
    </xf>
    <xf numFmtId="168" fontId="2" fillId="0" borderId="0" xfId="0" applyNumberFormat="1" applyFont="1" applyFill="1" applyBorder="1" applyAlignment="1" applyProtection="1"/>
    <xf numFmtId="168" fontId="2" fillId="2" borderId="40" xfId="0" applyNumberFormat="1" applyFont="1" applyFill="1" applyBorder="1" applyProtection="1"/>
    <xf numFmtId="49" fontId="2" fillId="0" borderId="0" xfId="0" applyNumberFormat="1" applyFont="1" applyProtection="1">
      <protection hidden="1"/>
    </xf>
    <xf numFmtId="164" fontId="2" fillId="4" borderId="8" xfId="2" applyNumberFormat="1" applyFont="1" applyFill="1" applyBorder="1" applyAlignment="1" applyProtection="1">
      <alignment horizontal="center" vertical="center" wrapText="1"/>
    </xf>
    <xf numFmtId="164" fontId="2" fillId="4" borderId="9" xfId="2" applyNumberFormat="1" applyFont="1" applyFill="1" applyBorder="1" applyAlignment="1" applyProtection="1">
      <alignment horizontal="center" vertical="center" wrapText="1"/>
    </xf>
    <xf numFmtId="0" fontId="3" fillId="5" borderId="33" xfId="2" applyFont="1" applyFill="1" applyBorder="1" applyAlignment="1" applyProtection="1">
      <alignment horizontal="left" vertical="center" wrapText="1"/>
    </xf>
    <xf numFmtId="0" fontId="3" fillId="5" borderId="51" xfId="2" applyFont="1" applyFill="1" applyBorder="1" applyAlignment="1" applyProtection="1">
      <alignment horizontal="left" vertical="center" wrapText="1"/>
    </xf>
    <xf numFmtId="0" fontId="3" fillId="5" borderId="28" xfId="2" applyFont="1" applyFill="1" applyBorder="1" applyAlignment="1" applyProtection="1">
      <alignment horizontal="left" vertical="center" wrapText="1"/>
    </xf>
    <xf numFmtId="0" fontId="2" fillId="4" borderId="25" xfId="2" applyFont="1" applyFill="1" applyBorder="1" applyAlignment="1" applyProtection="1">
      <alignment horizontal="center" vertical="center" wrapText="1"/>
    </xf>
    <xf numFmtId="0" fontId="2" fillId="4" borderId="28" xfId="2" applyFont="1" applyFill="1" applyBorder="1" applyAlignment="1" applyProtection="1">
      <alignment horizontal="center" vertical="center" wrapText="1"/>
    </xf>
    <xf numFmtId="0" fontId="2" fillId="4" borderId="48" xfId="2" applyFont="1" applyFill="1" applyBorder="1" applyAlignment="1" applyProtection="1">
      <alignment horizontal="center" vertical="center" wrapText="1"/>
    </xf>
    <xf numFmtId="164" fontId="2" fillId="4" borderId="18" xfId="2" applyNumberFormat="1" applyFont="1" applyFill="1" applyBorder="1" applyAlignment="1" applyProtection="1">
      <alignment horizontal="center" vertical="center" wrapText="1"/>
    </xf>
    <xf numFmtId="164" fontId="2" fillId="4" borderId="19" xfId="2" applyNumberFormat="1" applyFont="1" applyFill="1" applyBorder="1" applyAlignment="1" applyProtection="1">
      <alignment horizontal="center" vertical="center" wrapText="1"/>
    </xf>
    <xf numFmtId="164" fontId="2" fillId="4" borderId="20" xfId="2" applyNumberFormat="1" applyFont="1" applyFill="1" applyBorder="1" applyAlignment="1" applyProtection="1">
      <alignment horizontal="center" vertical="center" wrapText="1"/>
    </xf>
    <xf numFmtId="164" fontId="3" fillId="4" borderId="18" xfId="2" applyNumberFormat="1" applyFont="1" applyFill="1" applyBorder="1" applyAlignment="1" applyProtection="1">
      <alignment horizontal="center" vertical="center" wrapText="1"/>
    </xf>
    <xf numFmtId="164" fontId="3" fillId="4" borderId="19" xfId="2" applyNumberFormat="1" applyFont="1" applyFill="1" applyBorder="1" applyAlignment="1" applyProtection="1">
      <alignment horizontal="center" vertical="center" wrapText="1"/>
    </xf>
    <xf numFmtId="164" fontId="3" fillId="4" borderId="20" xfId="2" applyNumberFormat="1" applyFont="1" applyFill="1" applyBorder="1" applyAlignment="1" applyProtection="1">
      <alignment horizontal="center" vertical="center" wrapText="1"/>
    </xf>
    <xf numFmtId="164" fontId="2" fillId="4" borderId="7" xfId="2" applyNumberFormat="1" applyFont="1" applyFill="1" applyBorder="1" applyAlignment="1" applyProtection="1">
      <alignment horizontal="center" vertical="center" wrapText="1"/>
    </xf>
    <xf numFmtId="164" fontId="2" fillId="4" borderId="10" xfId="2" applyNumberFormat="1" applyFont="1" applyFill="1" applyBorder="1" applyAlignment="1" applyProtection="1">
      <alignment horizontal="center" vertical="center" wrapText="1"/>
    </xf>
    <xf numFmtId="0" fontId="3" fillId="5" borderId="29" xfId="2" applyFont="1" applyFill="1" applyBorder="1" applyAlignment="1" applyProtection="1">
      <alignment horizontal="left" vertical="center" wrapText="1"/>
    </xf>
    <xf numFmtId="0" fontId="3" fillId="5" borderId="31" xfId="2" applyFont="1" applyFill="1" applyBorder="1" applyAlignment="1" applyProtection="1">
      <alignment horizontal="left" vertical="center" wrapText="1"/>
    </xf>
    <xf numFmtId="0" fontId="2" fillId="4" borderId="33" xfId="2" applyFont="1" applyFill="1" applyBorder="1" applyAlignment="1" applyProtection="1">
      <alignment horizontal="center" vertical="center" wrapText="1"/>
    </xf>
    <xf numFmtId="164" fontId="2" fillId="4" borderId="21" xfId="2" applyNumberFormat="1" applyFont="1" applyFill="1" applyBorder="1" applyAlignment="1" applyProtection="1">
      <alignment horizontal="center" vertical="center" wrapText="1"/>
    </xf>
    <xf numFmtId="164" fontId="2" fillId="4" borderId="11" xfId="2" applyNumberFormat="1" applyFont="1" applyFill="1" applyBorder="1" applyAlignment="1" applyProtection="1">
      <alignment horizontal="center" vertical="center" wrapText="1"/>
    </xf>
    <xf numFmtId="164" fontId="2" fillId="4" borderId="12" xfId="2" applyNumberFormat="1" applyFont="1" applyFill="1" applyBorder="1" applyAlignment="1" applyProtection="1">
      <alignment horizontal="center" vertical="center" wrapText="1"/>
    </xf>
    <xf numFmtId="164" fontId="2" fillId="4" borderId="22" xfId="2" applyNumberFormat="1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2" fillId="4" borderId="17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2" fillId="4" borderId="23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Protection="1"/>
    <xf numFmtId="0" fontId="3" fillId="0" borderId="0" xfId="2" applyNumberFormat="1" applyFont="1" applyFill="1" applyBorder="1" applyAlignment="1" applyProtection="1">
      <alignment horizontal="left"/>
    </xf>
    <xf numFmtId="0" fontId="8" fillId="0" borderId="0" xfId="8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/>
    <xf numFmtId="0" fontId="9" fillId="0" borderId="0" xfId="0" applyFont="1" applyFill="1" applyBorder="1" applyProtection="1"/>
    <xf numFmtId="0" fontId="9" fillId="0" borderId="0" xfId="0" applyFont="1" applyFill="1" applyBorder="1"/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2" fillId="6" borderId="0" xfId="2" applyFont="1" applyFill="1" applyBorder="1" applyProtection="1"/>
    <xf numFmtId="0" fontId="2" fillId="6" borderId="1" xfId="2" applyFont="1" applyFill="1" applyBorder="1" applyAlignment="1" applyProtection="1">
      <alignment horizontal="center" vertical="center" wrapText="1"/>
    </xf>
    <xf numFmtId="0" fontId="2" fillId="6" borderId="17" xfId="2" applyFont="1" applyFill="1" applyBorder="1" applyAlignment="1" applyProtection="1">
      <alignment horizontal="center" vertical="center" wrapText="1"/>
    </xf>
    <xf numFmtId="164" fontId="2" fillId="6" borderId="18" xfId="2" applyNumberFormat="1" applyFont="1" applyFill="1" applyBorder="1" applyAlignment="1" applyProtection="1">
      <alignment horizontal="center" vertical="center" wrapText="1"/>
    </xf>
    <xf numFmtId="164" fontId="2" fillId="6" borderId="19" xfId="2" applyNumberFormat="1" applyFont="1" applyFill="1" applyBorder="1" applyAlignment="1" applyProtection="1">
      <alignment horizontal="center" vertical="center" wrapText="1"/>
    </xf>
    <xf numFmtId="164" fontId="2" fillId="6" borderId="20" xfId="2" applyNumberFormat="1" applyFont="1" applyFill="1" applyBorder="1" applyAlignment="1" applyProtection="1">
      <alignment horizontal="center" vertical="center" wrapText="1"/>
    </xf>
    <xf numFmtId="164" fontId="3" fillId="6" borderId="18" xfId="2" applyNumberFormat="1" applyFont="1" applyFill="1" applyBorder="1" applyAlignment="1" applyProtection="1">
      <alignment horizontal="center" vertical="center" wrapText="1"/>
    </xf>
    <xf numFmtId="164" fontId="3" fillId="6" borderId="19" xfId="2" applyNumberFormat="1" applyFont="1" applyFill="1" applyBorder="1" applyAlignment="1" applyProtection="1">
      <alignment horizontal="center" vertical="center" wrapText="1"/>
    </xf>
    <xf numFmtId="164" fontId="3" fillId="6" borderId="20" xfId="2" applyNumberFormat="1" applyFont="1" applyFill="1" applyBorder="1" applyAlignment="1" applyProtection="1">
      <alignment horizontal="center" vertical="center" wrapText="1"/>
    </xf>
    <xf numFmtId="0" fontId="2" fillId="6" borderId="3" xfId="2" applyFont="1" applyFill="1" applyBorder="1" applyAlignment="1" applyProtection="1">
      <alignment horizontal="center" vertical="center" wrapText="1"/>
    </xf>
    <xf numFmtId="0" fontId="2" fillId="6" borderId="13" xfId="2" applyFont="1" applyFill="1" applyBorder="1" applyAlignment="1" applyProtection="1">
      <alignment horizontal="center" vertical="center" wrapText="1"/>
    </xf>
    <xf numFmtId="164" fontId="2" fillId="6" borderId="21" xfId="2" applyNumberFormat="1" applyFont="1" applyFill="1" applyBorder="1" applyAlignment="1" applyProtection="1">
      <alignment horizontal="center" vertical="center" wrapText="1"/>
    </xf>
    <xf numFmtId="164" fontId="2" fillId="6" borderId="11" xfId="2" applyNumberFormat="1" applyFont="1" applyFill="1" applyBorder="1" applyAlignment="1" applyProtection="1">
      <alignment horizontal="center" vertical="center" wrapText="1"/>
    </xf>
    <xf numFmtId="164" fontId="2" fillId="6" borderId="12" xfId="2" applyNumberFormat="1" applyFont="1" applyFill="1" applyBorder="1" applyAlignment="1" applyProtection="1">
      <alignment horizontal="center" vertical="center" wrapText="1"/>
    </xf>
    <xf numFmtId="164" fontId="2" fillId="6" borderId="10" xfId="2" applyNumberFormat="1" applyFont="1" applyFill="1" applyBorder="1" applyAlignment="1" applyProtection="1">
      <alignment horizontal="center" vertical="center" wrapText="1"/>
    </xf>
    <xf numFmtId="164" fontId="2" fillId="6" borderId="22" xfId="2" applyNumberFormat="1" applyFont="1" applyFill="1" applyBorder="1" applyAlignment="1" applyProtection="1">
      <alignment horizontal="center" vertical="center" wrapText="1"/>
    </xf>
    <xf numFmtId="0" fontId="2" fillId="6" borderId="2" xfId="2" applyFont="1" applyFill="1" applyBorder="1" applyAlignment="1" applyProtection="1">
      <alignment horizontal="center" vertical="center" wrapText="1"/>
    </xf>
    <xf numFmtId="0" fontId="2" fillId="6" borderId="23" xfId="2" applyFont="1" applyFill="1" applyBorder="1" applyAlignment="1" applyProtection="1">
      <alignment horizontal="center" vertical="center" wrapText="1"/>
    </xf>
    <xf numFmtId="164" fontId="2" fillId="6" borderId="14" xfId="2" applyNumberFormat="1" applyFont="1" applyFill="1" applyBorder="1" applyAlignment="1" applyProtection="1">
      <alignment horizontal="center" vertical="center" wrapText="1"/>
    </xf>
    <xf numFmtId="164" fontId="2" fillId="6" borderId="15" xfId="2" applyNumberFormat="1" applyFont="1" applyFill="1" applyBorder="1" applyAlignment="1" applyProtection="1">
      <alignment horizontal="center" vertical="center" wrapText="1"/>
    </xf>
    <xf numFmtId="164" fontId="2" fillId="6" borderId="24" xfId="2" applyNumberFormat="1" applyFont="1" applyFill="1" applyBorder="1" applyAlignment="1" applyProtection="1">
      <alignment horizontal="center" vertical="center" wrapText="1"/>
    </xf>
    <xf numFmtId="164" fontId="2" fillId="6" borderId="29" xfId="2" applyNumberFormat="1" applyFont="1" applyFill="1" applyBorder="1" applyAlignment="1" applyProtection="1">
      <alignment horizontal="center" vertical="center" wrapText="1"/>
    </xf>
    <xf numFmtId="164" fontId="2" fillId="6" borderId="16" xfId="2" applyNumberFormat="1" applyFont="1" applyFill="1" applyBorder="1" applyAlignment="1" applyProtection="1">
      <alignment horizontal="center" vertical="center" wrapText="1"/>
    </xf>
    <xf numFmtId="0" fontId="3" fillId="6" borderId="0" xfId="2" applyFont="1" applyFill="1" applyBorder="1" applyProtection="1"/>
    <xf numFmtId="0" fontId="3" fillId="6" borderId="18" xfId="2" applyFont="1" applyFill="1" applyBorder="1" applyAlignment="1" applyProtection="1">
      <alignment vertical="top" wrapText="1"/>
    </xf>
    <xf numFmtId="0" fontId="3" fillId="6" borderId="25" xfId="2" applyFont="1" applyFill="1" applyBorder="1" applyAlignment="1" applyProtection="1">
      <alignment horizontal="center" vertical="top" wrapText="1"/>
    </xf>
    <xf numFmtId="166" fontId="3" fillId="7" borderId="26" xfId="3" applyNumberFormat="1" applyFont="1" applyFill="1" applyBorder="1" applyAlignment="1" applyProtection="1">
      <alignment horizontal="right"/>
    </xf>
    <xf numFmtId="166" fontId="3" fillId="7" borderId="5" xfId="3" applyNumberFormat="1" applyFont="1" applyFill="1" applyBorder="1" applyAlignment="1" applyProtection="1">
      <alignment horizontal="right"/>
    </xf>
    <xf numFmtId="166" fontId="3" fillId="7" borderId="27" xfId="3" applyNumberFormat="1" applyFont="1" applyFill="1" applyBorder="1" applyAlignment="1" applyProtection="1">
      <alignment horizontal="right"/>
    </xf>
    <xf numFmtId="166" fontId="3" fillId="7" borderId="4" xfId="3" applyNumberFormat="1" applyFont="1" applyFill="1" applyBorder="1" applyAlignment="1" applyProtection="1">
      <alignment horizontal="right"/>
    </xf>
    <xf numFmtId="166" fontId="3" fillId="7" borderId="6" xfId="3" applyNumberFormat="1" applyFont="1" applyFill="1" applyBorder="1" applyAlignment="1" applyProtection="1">
      <alignment horizontal="right"/>
    </xf>
    <xf numFmtId="0" fontId="2" fillId="6" borderId="21" xfId="2" applyFont="1" applyFill="1" applyBorder="1" applyAlignment="1" applyProtection="1">
      <alignment vertical="top" wrapText="1"/>
    </xf>
    <xf numFmtId="0" fontId="2" fillId="6" borderId="28" xfId="2" applyFont="1" applyFill="1" applyBorder="1" applyAlignment="1" applyProtection="1">
      <alignment horizontal="center" vertical="top" wrapText="1"/>
    </xf>
    <xf numFmtId="166" fontId="2" fillId="6" borderId="12" xfId="3" applyNumberFormat="1" applyFont="1" applyFill="1" applyBorder="1" applyAlignment="1" applyProtection="1">
      <alignment horizontal="center"/>
    </xf>
    <xf numFmtId="166" fontId="2" fillId="6" borderId="8" xfId="3" applyNumberFormat="1" applyFont="1" applyFill="1" applyBorder="1" applyAlignment="1" applyProtection="1">
      <alignment horizontal="center"/>
    </xf>
    <xf numFmtId="166" fontId="2" fillId="7" borderId="8" xfId="3" applyNumberFormat="1" applyFont="1" applyFill="1" applyBorder="1" applyAlignment="1" applyProtection="1">
      <alignment horizontal="right"/>
    </xf>
    <xf numFmtId="166" fontId="2" fillId="7" borderId="10" xfId="3" applyNumberFormat="1" applyFont="1" applyFill="1" applyBorder="1" applyAlignment="1" applyProtection="1">
      <alignment horizontal="right"/>
    </xf>
    <xf numFmtId="166" fontId="2" fillId="6" borderId="7" xfId="3" applyNumberFormat="1" applyFont="1" applyFill="1" applyBorder="1" applyAlignment="1" applyProtection="1">
      <alignment horizontal="center"/>
    </xf>
    <xf numFmtId="166" fontId="3" fillId="7" borderId="8" xfId="3" applyNumberFormat="1" applyFont="1" applyFill="1" applyBorder="1" applyAlignment="1" applyProtection="1">
      <alignment horizontal="right"/>
    </xf>
    <xf numFmtId="166" fontId="3" fillId="7" borderId="9" xfId="3" applyNumberFormat="1" applyFont="1" applyFill="1" applyBorder="1" applyAlignment="1" applyProtection="1">
      <alignment horizontal="right"/>
    </xf>
    <xf numFmtId="166" fontId="2" fillId="6" borderId="10" xfId="3" applyNumberFormat="1" applyFont="1" applyFill="1" applyBorder="1" applyAlignment="1" applyProtection="1">
      <alignment horizontal="center"/>
    </xf>
    <xf numFmtId="166" fontId="2" fillId="6" borderId="9" xfId="3" applyNumberFormat="1" applyFont="1" applyFill="1" applyBorder="1" applyAlignment="1" applyProtection="1">
      <alignment horizontal="center"/>
    </xf>
    <xf numFmtId="0" fontId="2" fillId="0" borderId="21" xfId="2" applyFont="1" applyFill="1" applyBorder="1" applyAlignment="1" applyProtection="1">
      <alignment vertical="top" wrapText="1"/>
    </xf>
    <xf numFmtId="0" fontId="2" fillId="0" borderId="28" xfId="2" applyFont="1" applyFill="1" applyBorder="1" applyAlignment="1" applyProtection="1">
      <alignment horizontal="center" vertical="top" wrapText="1"/>
    </xf>
    <xf numFmtId="166" fontId="2" fillId="8" borderId="8" xfId="3" applyNumberFormat="1" applyFont="1" applyFill="1" applyBorder="1" applyAlignment="1" applyProtection="1">
      <alignment horizontal="right"/>
      <protection locked="0"/>
    </xf>
    <xf numFmtId="166" fontId="2" fillId="8" borderId="9" xfId="3" applyNumberFormat="1" applyFont="1" applyFill="1" applyBorder="1" applyAlignment="1" applyProtection="1">
      <alignment horizontal="right"/>
      <protection locked="0"/>
    </xf>
    <xf numFmtId="166" fontId="2" fillId="7" borderId="12" xfId="3" applyNumberFormat="1" applyFont="1" applyFill="1" applyBorder="1" applyAlignment="1" applyProtection="1">
      <alignment horizontal="right"/>
    </xf>
    <xf numFmtId="166" fontId="3" fillId="7" borderId="7" xfId="3" applyNumberFormat="1" applyFont="1" applyFill="1" applyBorder="1" applyAlignment="1" applyProtection="1">
      <alignment horizontal="right"/>
    </xf>
    <xf numFmtId="166" fontId="3" fillId="7" borderId="12" xfId="3" applyNumberFormat="1" applyFont="1" applyFill="1" applyBorder="1" applyAlignment="1" applyProtection="1">
      <alignment horizontal="right"/>
    </xf>
    <xf numFmtId="0" fontId="3" fillId="0" borderId="0" xfId="2" applyFont="1" applyFill="1" applyBorder="1" applyProtection="1"/>
    <xf numFmtId="0" fontId="3" fillId="6" borderId="21" xfId="2" applyFont="1" applyFill="1" applyBorder="1" applyAlignment="1" applyProtection="1">
      <alignment horizontal="left" vertical="center" wrapText="1"/>
    </xf>
    <xf numFmtId="0" fontId="3" fillId="6" borderId="28" xfId="2" applyFont="1" applyFill="1" applyBorder="1" applyAlignment="1" applyProtection="1">
      <alignment horizontal="center" vertical="top" wrapText="1"/>
    </xf>
    <xf numFmtId="166" fontId="3" fillId="7" borderId="10" xfId="3" applyNumberFormat="1" applyFont="1" applyFill="1" applyBorder="1" applyAlignment="1" applyProtection="1">
      <alignment horizontal="right"/>
    </xf>
    <xf numFmtId="166" fontId="3" fillId="8" borderId="8" xfId="3" applyNumberFormat="1" applyFont="1" applyFill="1" applyBorder="1" applyAlignment="1" applyProtection="1">
      <alignment horizontal="right"/>
      <protection locked="0"/>
    </xf>
    <xf numFmtId="166" fontId="2" fillId="7" borderId="9" xfId="3" applyNumberFormat="1" applyFont="1" applyFill="1" applyBorder="1" applyAlignment="1" applyProtection="1">
      <alignment horizontal="right"/>
    </xf>
    <xf numFmtId="166" fontId="2" fillId="8" borderId="7" xfId="3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Protection="1"/>
    <xf numFmtId="0" fontId="3" fillId="0" borderId="21" xfId="2" applyFont="1" applyFill="1" applyBorder="1" applyAlignment="1" applyProtection="1">
      <alignment vertical="top" wrapText="1"/>
    </xf>
    <xf numFmtId="0" fontId="3" fillId="0" borderId="28" xfId="2" applyFont="1" applyFill="1" applyBorder="1" applyAlignment="1" applyProtection="1">
      <alignment horizontal="center" vertical="top" wrapText="1"/>
    </xf>
    <xf numFmtId="0" fontId="3" fillId="6" borderId="21" xfId="2" applyFont="1" applyFill="1" applyBorder="1" applyAlignment="1" applyProtection="1">
      <alignment vertical="top" wrapText="1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6" borderId="21" xfId="2" applyFont="1" applyFill="1" applyBorder="1" applyAlignment="1" applyProtection="1">
      <alignment horizontal="left" vertical="top" wrapText="1" indent="1"/>
    </xf>
    <xf numFmtId="0" fontId="2" fillId="0" borderId="32" xfId="2" applyFont="1" applyFill="1" applyBorder="1" applyAlignment="1" applyProtection="1">
      <alignment vertical="top" wrapText="1"/>
    </xf>
    <xf numFmtId="0" fontId="2" fillId="0" borderId="33" xfId="2" applyFont="1" applyFill="1" applyBorder="1" applyAlignment="1" applyProtection="1">
      <alignment horizontal="center" vertical="top" wrapText="1"/>
    </xf>
    <xf numFmtId="166" fontId="2" fillId="7" borderId="34" xfId="3" applyNumberFormat="1" applyFont="1" applyFill="1" applyBorder="1" applyAlignment="1" applyProtection="1">
      <alignment horizontal="right"/>
    </xf>
    <xf numFmtId="166" fontId="2" fillId="7" borderId="29" xfId="3" applyNumberFormat="1" applyFont="1" applyFill="1" applyBorder="1" applyAlignment="1" applyProtection="1">
      <alignment horizontal="right"/>
    </xf>
    <xf numFmtId="166" fontId="2" fillId="7" borderId="35" xfId="3" applyNumberFormat="1" applyFont="1" applyFill="1" applyBorder="1" applyAlignment="1" applyProtection="1">
      <alignment horizontal="right"/>
    </xf>
    <xf numFmtId="166" fontId="3" fillId="7" borderId="36" xfId="3" applyNumberFormat="1" applyFont="1" applyFill="1" applyBorder="1" applyAlignment="1" applyProtection="1">
      <alignment horizontal="right"/>
    </xf>
    <xf numFmtId="166" fontId="3" fillId="7" borderId="34" xfId="3" applyNumberFormat="1" applyFont="1" applyFill="1" applyBorder="1" applyAlignment="1" applyProtection="1">
      <alignment horizontal="right"/>
    </xf>
    <xf numFmtId="0" fontId="3" fillId="6" borderId="37" xfId="2" applyFont="1" applyFill="1" applyBorder="1" applyAlignment="1" applyProtection="1">
      <alignment vertical="top" wrapText="1"/>
    </xf>
    <xf numFmtId="0" fontId="3" fillId="0" borderId="38" xfId="2" applyFont="1" applyFill="1" applyBorder="1" applyAlignment="1" applyProtection="1">
      <alignment horizontal="center" vertical="top" wrapText="1"/>
    </xf>
    <xf numFmtId="166" fontId="3" fillId="7" borderId="39" xfId="3" applyNumberFormat="1" applyFont="1" applyFill="1" applyBorder="1" applyAlignment="1" applyProtection="1">
      <alignment horizontal="right"/>
    </xf>
    <xf numFmtId="166" fontId="3" fillId="7" borderId="40" xfId="3" applyNumberFormat="1" applyFont="1" applyFill="1" applyBorder="1" applyAlignment="1" applyProtection="1">
      <alignment horizontal="right"/>
    </xf>
    <xf numFmtId="166" fontId="3" fillId="7" borderId="41" xfId="3" applyNumberFormat="1" applyFont="1" applyFill="1" applyBorder="1" applyAlignment="1" applyProtection="1">
      <alignment horizontal="right"/>
    </xf>
    <xf numFmtId="166" fontId="3" fillId="7" borderId="42" xfId="3" applyNumberFormat="1" applyFont="1" applyFill="1" applyBorder="1" applyAlignment="1" applyProtection="1">
      <alignment horizontal="right"/>
    </xf>
    <xf numFmtId="166" fontId="3" fillId="7" borderId="14" xfId="3" applyNumberFormat="1" applyFont="1" applyFill="1" applyBorder="1" applyAlignment="1" applyProtection="1">
      <alignment horizontal="right"/>
    </xf>
    <xf numFmtId="166" fontId="2" fillId="8" borderId="15" xfId="3" applyNumberFormat="1" applyFont="1" applyFill="1" applyBorder="1" applyAlignment="1" applyProtection="1">
      <alignment horizontal="right"/>
      <protection locked="0"/>
    </xf>
    <xf numFmtId="166" fontId="2" fillId="8" borderId="16" xfId="3" applyNumberFormat="1" applyFont="1" applyFill="1" applyBorder="1" applyAlignment="1" applyProtection="1">
      <alignment horizontal="right"/>
      <protection locked="0"/>
    </xf>
    <xf numFmtId="0" fontId="4" fillId="0" borderId="0" xfId="2" applyFont="1" applyFill="1" applyBorder="1" applyProtection="1"/>
    <xf numFmtId="0" fontId="4" fillId="0" borderId="2" xfId="2" applyFont="1" applyFill="1" applyBorder="1" applyAlignment="1" applyProtection="1">
      <alignment vertical="top" wrapText="1"/>
    </xf>
    <xf numFmtId="0" fontId="4" fillId="0" borderId="23" xfId="2" applyFont="1" applyFill="1" applyBorder="1" applyAlignment="1" applyProtection="1">
      <alignment horizontal="center" vertical="top" wrapText="1"/>
    </xf>
    <xf numFmtId="166" fontId="4" fillId="6" borderId="44" xfId="3" applyNumberFormat="1" applyFont="1" applyFill="1" applyBorder="1" applyAlignment="1" applyProtection="1">
      <alignment horizontal="center" vertical="center"/>
    </xf>
    <xf numFmtId="166" fontId="4" fillId="7" borderId="45" xfId="3" applyNumberFormat="1" applyFont="1" applyFill="1" applyBorder="1" applyAlignment="1" applyProtection="1">
      <alignment horizontal="right"/>
    </xf>
    <xf numFmtId="166" fontId="4" fillId="7" borderId="46" xfId="3" applyNumberFormat="1" applyFont="1" applyFill="1" applyBorder="1" applyAlignment="1" applyProtection="1">
      <alignment horizontal="right"/>
    </xf>
    <xf numFmtId="166" fontId="4" fillId="6" borderId="43" xfId="3" applyNumberFormat="1" applyFont="1" applyFill="1" applyBorder="1" applyAlignment="1" applyProtection="1">
      <alignment horizontal="center" vertical="center"/>
    </xf>
    <xf numFmtId="166" fontId="3" fillId="7" borderId="45" xfId="3" applyNumberFormat="1" applyFont="1" applyFill="1" applyBorder="1" applyAlignment="1" applyProtection="1">
      <alignment horizontal="right"/>
    </xf>
    <xf numFmtId="166" fontId="3" fillId="7" borderId="47" xfId="3" applyNumberFormat="1" applyFont="1" applyFill="1" applyBorder="1" applyAlignment="1" applyProtection="1">
      <alignment horizontal="right"/>
    </xf>
    <xf numFmtId="167" fontId="11" fillId="0" borderId="0" xfId="3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right"/>
    </xf>
    <xf numFmtId="0" fontId="2" fillId="6" borderId="25" xfId="2" applyFont="1" applyFill="1" applyBorder="1" applyAlignment="1" applyProtection="1">
      <alignment horizontal="center" vertical="center" wrapText="1"/>
    </xf>
    <xf numFmtId="0" fontId="2" fillId="6" borderId="28" xfId="2" applyFont="1" applyFill="1" applyBorder="1" applyAlignment="1" applyProtection="1">
      <alignment horizontal="center" vertical="center" wrapText="1"/>
    </xf>
    <xf numFmtId="164" fontId="2" fillId="6" borderId="7" xfId="2" applyNumberFormat="1" applyFont="1" applyFill="1" applyBorder="1" applyAlignment="1" applyProtection="1">
      <alignment horizontal="center" vertical="center" wrapText="1"/>
    </xf>
    <xf numFmtId="164" fontId="2" fillId="6" borderId="8" xfId="2" applyNumberFormat="1" applyFont="1" applyFill="1" applyBorder="1" applyAlignment="1" applyProtection="1">
      <alignment horizontal="center" vertical="center" wrapText="1"/>
    </xf>
    <xf numFmtId="164" fontId="2" fillId="6" borderId="9" xfId="2" applyNumberFormat="1" applyFont="1" applyFill="1" applyBorder="1" applyAlignment="1" applyProtection="1">
      <alignment horizontal="center" vertical="center" wrapText="1"/>
    </xf>
    <xf numFmtId="0" fontId="2" fillId="6" borderId="48" xfId="2" applyFont="1" applyFill="1" applyBorder="1" applyAlignment="1" applyProtection="1">
      <alignment horizontal="center" vertical="center" wrapText="1"/>
    </xf>
    <xf numFmtId="0" fontId="3" fillId="6" borderId="25" xfId="2" applyFont="1" applyFill="1" applyBorder="1" applyAlignment="1" applyProtection="1">
      <alignment vertical="top" wrapText="1"/>
    </xf>
    <xf numFmtId="0" fontId="3" fillId="6" borderId="51" xfId="2" applyFont="1" applyFill="1" applyBorder="1" applyAlignment="1" applyProtection="1">
      <alignment horizontal="center" vertical="top" wrapText="1"/>
    </xf>
    <xf numFmtId="167" fontId="3" fillId="7" borderId="4" xfId="3" applyNumberFormat="1" applyFont="1" applyFill="1" applyBorder="1" applyAlignment="1" applyProtection="1">
      <alignment horizontal="right"/>
    </xf>
    <xf numFmtId="167" fontId="3" fillId="7" borderId="5" xfId="3" applyNumberFormat="1" applyFont="1" applyFill="1" applyBorder="1" applyAlignment="1" applyProtection="1">
      <alignment horizontal="right"/>
    </xf>
    <xf numFmtId="167" fontId="3" fillId="7" borderId="6" xfId="3" applyNumberFormat="1" applyFont="1" applyFill="1" applyBorder="1" applyAlignment="1" applyProtection="1">
      <alignment horizontal="right"/>
    </xf>
    <xf numFmtId="0" fontId="2" fillId="6" borderId="28" xfId="2" applyFont="1" applyFill="1" applyBorder="1" applyAlignment="1" applyProtection="1">
      <alignment horizontal="left" vertical="top" wrapText="1"/>
    </xf>
    <xf numFmtId="167" fontId="2" fillId="6" borderId="7" xfId="3" applyNumberFormat="1" applyFont="1" applyFill="1" applyBorder="1" applyAlignment="1" applyProtection="1">
      <alignment horizontal="center"/>
    </xf>
    <xf numFmtId="167" fontId="2" fillId="6" borderId="8" xfId="3" applyNumberFormat="1" applyFont="1" applyFill="1" applyBorder="1" applyAlignment="1" applyProtection="1">
      <alignment horizontal="center"/>
    </xf>
    <xf numFmtId="167" fontId="2" fillId="7" borderId="8" xfId="3" applyNumberFormat="1" applyFont="1" applyFill="1" applyBorder="1" applyAlignment="1" applyProtection="1">
      <alignment horizontal="right"/>
    </xf>
    <xf numFmtId="167" fontId="2" fillId="7" borderId="9" xfId="3" applyNumberFormat="1" applyFont="1" applyFill="1" applyBorder="1" applyAlignment="1" applyProtection="1">
      <alignment horizontal="right"/>
    </xf>
    <xf numFmtId="167" fontId="2" fillId="6" borderId="9" xfId="3" applyNumberFormat="1" applyFont="1" applyFill="1" applyBorder="1" applyAlignment="1" applyProtection="1">
      <alignment horizontal="center"/>
    </xf>
    <xf numFmtId="0" fontId="2" fillId="0" borderId="28" xfId="2" applyFont="1" applyFill="1" applyBorder="1" applyAlignment="1" applyProtection="1">
      <alignment horizontal="left" vertical="top" wrapText="1"/>
    </xf>
    <xf numFmtId="167" fontId="2" fillId="6" borderId="9" xfId="3" applyNumberFormat="1" applyFont="1" applyFill="1" applyBorder="1" applyAlignment="1" applyProtection="1">
      <alignment horizontal="center" vertical="center"/>
    </xf>
    <xf numFmtId="167" fontId="2" fillId="7" borderId="7" xfId="3" applyNumberFormat="1" applyFont="1" applyFill="1" applyBorder="1" applyAlignment="1" applyProtection="1">
      <alignment horizontal="right"/>
    </xf>
    <xf numFmtId="0" fontId="3" fillId="6" borderId="33" xfId="2" applyFont="1" applyFill="1" applyBorder="1" applyAlignment="1" applyProtection="1">
      <alignment horizontal="left" vertical="center" wrapText="1"/>
    </xf>
    <xf numFmtId="167" fontId="3" fillId="7" borderId="7" xfId="3" applyNumberFormat="1" applyFont="1" applyFill="1" applyBorder="1" applyAlignment="1" applyProtection="1">
      <alignment horizontal="right"/>
    </xf>
    <xf numFmtId="167" fontId="3" fillId="7" borderId="8" xfId="3" applyNumberFormat="1" applyFont="1" applyFill="1" applyBorder="1" applyAlignment="1" applyProtection="1">
      <alignment horizontal="right"/>
    </xf>
    <xf numFmtId="167" fontId="3" fillId="7" borderId="9" xfId="3" applyNumberFormat="1" applyFont="1" applyFill="1" applyBorder="1" applyAlignment="1" applyProtection="1">
      <alignment horizontal="right"/>
    </xf>
    <xf numFmtId="0" fontId="3" fillId="6" borderId="51" xfId="2" applyFont="1" applyFill="1" applyBorder="1" applyAlignment="1" applyProtection="1">
      <alignment horizontal="left" vertical="center" wrapText="1"/>
    </xf>
    <xf numFmtId="168" fontId="2" fillId="7" borderId="7" xfId="4" applyNumberFormat="1" applyFont="1" applyFill="1" applyBorder="1" applyAlignment="1" applyProtection="1">
      <alignment horizontal="right"/>
    </xf>
    <xf numFmtId="168" fontId="2" fillId="7" borderId="8" xfId="4" applyNumberFormat="1" applyFont="1" applyFill="1" applyBorder="1" applyAlignment="1" applyProtection="1">
      <alignment horizontal="right"/>
    </xf>
    <xf numFmtId="168" fontId="2" fillId="7" borderId="9" xfId="4" applyNumberFormat="1" applyFont="1" applyFill="1" applyBorder="1" applyAlignment="1" applyProtection="1">
      <alignment horizontal="right"/>
    </xf>
    <xf numFmtId="168" fontId="3" fillId="7" borderId="8" xfId="4" applyNumberFormat="1" applyFont="1" applyFill="1" applyBorder="1" applyAlignment="1" applyProtection="1">
      <alignment horizontal="right"/>
    </xf>
    <xf numFmtId="168" fontId="3" fillId="7" borderId="9" xfId="4" applyNumberFormat="1" applyFont="1" applyFill="1" applyBorder="1" applyAlignment="1" applyProtection="1">
      <alignment horizontal="right"/>
    </xf>
    <xf numFmtId="0" fontId="3" fillId="0" borderId="28" xfId="2" applyFont="1" applyFill="1" applyBorder="1" applyAlignment="1" applyProtection="1">
      <alignment vertical="top" wrapText="1"/>
    </xf>
    <xf numFmtId="0" fontId="3" fillId="6" borderId="28" xfId="2" applyFont="1" applyFill="1" applyBorder="1" applyAlignment="1" applyProtection="1">
      <alignment vertical="top" wrapText="1"/>
    </xf>
    <xf numFmtId="0" fontId="2" fillId="6" borderId="28" xfId="2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2" fillId="0" borderId="48" xfId="2" applyFont="1" applyFill="1" applyBorder="1" applyAlignment="1" applyProtection="1">
      <alignment vertical="top" wrapText="1"/>
    </xf>
    <xf numFmtId="0" fontId="2" fillId="0" borderId="48" xfId="2" applyFont="1" applyFill="1" applyBorder="1" applyAlignment="1" applyProtection="1">
      <alignment horizontal="center" vertical="top" wrapText="1"/>
    </xf>
    <xf numFmtId="167" fontId="2" fillId="7" borderId="14" xfId="3" applyNumberFormat="1" applyFont="1" applyFill="1" applyBorder="1" applyAlignment="1" applyProtection="1">
      <alignment horizontal="right"/>
    </xf>
    <xf numFmtId="167" fontId="2" fillId="7" borderId="15" xfId="3" applyNumberFormat="1" applyFont="1" applyFill="1" applyBorder="1" applyAlignment="1" applyProtection="1">
      <alignment horizontal="right"/>
    </xf>
    <xf numFmtId="167" fontId="2" fillId="7" borderId="16" xfId="3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167" fontId="3" fillId="7" borderId="27" xfId="3" applyNumberFormat="1" applyFont="1" applyFill="1" applyBorder="1" applyAlignment="1" applyProtection="1">
      <alignment horizontal="right"/>
    </xf>
    <xf numFmtId="167" fontId="3" fillId="7" borderId="26" xfId="3" applyNumberFormat="1" applyFont="1" applyFill="1" applyBorder="1" applyAlignment="1" applyProtection="1">
      <alignment horizontal="right"/>
    </xf>
    <xf numFmtId="167" fontId="2" fillId="7" borderId="10" xfId="3" applyNumberFormat="1" applyFont="1" applyFill="1" applyBorder="1" applyAlignment="1" applyProtection="1">
      <alignment horizontal="right"/>
    </xf>
    <xf numFmtId="167" fontId="2" fillId="6" borderId="12" xfId="3" applyNumberFormat="1" applyFont="1" applyFill="1" applyBorder="1" applyAlignment="1" applyProtection="1">
      <alignment horizontal="center"/>
    </xf>
    <xf numFmtId="167" fontId="2" fillId="6" borderId="10" xfId="3" applyNumberFormat="1" applyFont="1" applyFill="1" applyBorder="1" applyAlignment="1" applyProtection="1">
      <alignment horizontal="center"/>
    </xf>
    <xf numFmtId="167" fontId="2" fillId="6" borderId="10" xfId="3" applyNumberFormat="1" applyFont="1" applyFill="1" applyBorder="1" applyAlignment="1" applyProtection="1">
      <alignment horizontal="center" vertical="center"/>
    </xf>
    <xf numFmtId="167" fontId="2" fillId="7" borderId="12" xfId="3" applyNumberFormat="1" applyFont="1" applyFill="1" applyBorder="1" applyAlignment="1" applyProtection="1">
      <alignment horizontal="right"/>
    </xf>
    <xf numFmtId="167" fontId="3" fillId="7" borderId="10" xfId="3" applyNumberFormat="1" applyFont="1" applyFill="1" applyBorder="1" applyAlignment="1" applyProtection="1">
      <alignment horizontal="right"/>
    </xf>
    <xf numFmtId="167" fontId="3" fillId="7" borderId="12" xfId="3" applyNumberFormat="1" applyFont="1" applyFill="1" applyBorder="1" applyAlignment="1" applyProtection="1">
      <alignment horizontal="right"/>
    </xf>
    <xf numFmtId="168" fontId="2" fillId="7" borderId="10" xfId="4" applyNumberFormat="1" applyFont="1" applyFill="1" applyBorder="1" applyAlignment="1" applyProtection="1">
      <alignment horizontal="right"/>
    </xf>
    <xf numFmtId="168" fontId="2" fillId="7" borderId="12" xfId="4" applyNumberFormat="1" applyFont="1" applyFill="1" applyBorder="1" applyAlignment="1" applyProtection="1">
      <alignment horizontal="right"/>
    </xf>
    <xf numFmtId="167" fontId="3" fillId="7" borderId="14" xfId="3" applyNumberFormat="1" applyFont="1" applyFill="1" applyBorder="1" applyAlignment="1" applyProtection="1">
      <alignment horizontal="right"/>
    </xf>
    <xf numFmtId="167" fontId="3" fillId="7" borderId="15" xfId="3" applyNumberFormat="1" applyFont="1" applyFill="1" applyBorder="1" applyAlignment="1" applyProtection="1">
      <alignment horizontal="right"/>
    </xf>
    <xf numFmtId="167" fontId="3" fillId="7" borderId="16" xfId="3" applyNumberFormat="1" applyFont="1" applyFill="1" applyBorder="1" applyAlignment="1" applyProtection="1">
      <alignment horizontal="right"/>
    </xf>
    <xf numFmtId="167" fontId="2" fillId="0" borderId="0" xfId="2" applyNumberFormat="1" applyFont="1" applyFill="1" applyBorder="1" applyAlignment="1" applyProtection="1">
      <alignment horizontal="right"/>
    </xf>
    <xf numFmtId="166" fontId="2" fillId="0" borderId="0" xfId="2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Protection="1"/>
    <xf numFmtId="49" fontId="3" fillId="0" borderId="8" xfId="0" applyNumberFormat="1" applyFont="1" applyFill="1" applyBorder="1" applyAlignment="1" applyProtection="1">
      <alignment wrapText="1"/>
    </xf>
    <xf numFmtId="0" fontId="9" fillId="0" borderId="8" xfId="0" applyFont="1" applyFill="1" applyBorder="1" applyAlignment="1" applyProtection="1">
      <alignment horizontal="center" vertical="center"/>
    </xf>
    <xf numFmtId="0" fontId="3" fillId="0" borderId="8" xfId="5" applyFont="1" applyFill="1" applyBorder="1" applyProtection="1">
      <alignment horizontal="center" vertical="center" wrapText="1"/>
    </xf>
    <xf numFmtId="0" fontId="2" fillId="8" borderId="8" xfId="0" applyFont="1" applyFill="1" applyBorder="1" applyProtection="1">
      <protection locked="0"/>
    </xf>
    <xf numFmtId="0" fontId="2" fillId="0" borderId="8" xfId="2" applyFont="1" applyFill="1" applyBorder="1" applyAlignment="1" applyProtection="1">
      <alignment horizontal="center" vertical="top" wrapText="1"/>
    </xf>
    <xf numFmtId="168" fontId="2" fillId="7" borderId="8" xfId="0" applyNumberFormat="1" applyFont="1" applyFill="1" applyBorder="1" applyProtection="1"/>
    <xf numFmtId="168" fontId="2" fillId="8" borderId="8" xfId="0" applyNumberFormat="1" applyFont="1" applyFill="1" applyBorder="1" applyProtection="1">
      <protection locked="0"/>
    </xf>
    <xf numFmtId="0" fontId="12" fillId="0" borderId="8" xfId="6" applyFont="1" applyFill="1" applyBorder="1" applyAlignment="1" applyProtection="1">
      <alignment horizontal="left" vertical="center" wrapText="1"/>
    </xf>
    <xf numFmtId="0" fontId="3" fillId="0" borderId="8" xfId="9" applyFont="1" applyFill="1" applyBorder="1" applyAlignment="1" applyProtection="1">
      <alignment horizontal="left"/>
    </xf>
    <xf numFmtId="168" fontId="2" fillId="7" borderId="8" xfId="9" applyNumberFormat="1" applyFont="1" applyFill="1" applyBorder="1" applyAlignment="1" applyProtection="1">
      <alignment horizontal="right"/>
    </xf>
    <xf numFmtId="0" fontId="14" fillId="0" borderId="0" xfId="9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horizontal="center" vertical="top" wrapText="1"/>
    </xf>
    <xf numFmtId="168" fontId="2" fillId="0" borderId="0" xfId="9" applyNumberFormat="1" applyFont="1" applyFill="1" applyBorder="1" applyAlignment="1" applyProtection="1">
      <alignment horizontal="right"/>
    </xf>
    <xf numFmtId="0" fontId="2" fillId="8" borderId="8" xfId="0" applyFont="1" applyFill="1" applyBorder="1" applyAlignment="1" applyProtection="1">
      <alignment wrapText="1"/>
      <protection locked="0"/>
    </xf>
    <xf numFmtId="0" fontId="9" fillId="8" borderId="8" xfId="0" applyFont="1" applyFill="1" applyBorder="1" applyProtection="1">
      <protection locked="0"/>
    </xf>
    <xf numFmtId="168" fontId="2" fillId="7" borderId="8" xfId="0" applyNumberFormat="1" applyFont="1" applyFill="1" applyBorder="1" applyAlignment="1" applyProtection="1"/>
    <xf numFmtId="0" fontId="2" fillId="0" borderId="0" xfId="9" applyFont="1" applyFill="1" applyBorder="1" applyAlignment="1" applyProtection="1">
      <alignment horizontal="left"/>
    </xf>
    <xf numFmtId="49" fontId="9" fillId="0" borderId="0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</cellXfs>
  <cellStyles count="10">
    <cellStyle name="Гиперссылка 2" xfId="7"/>
    <cellStyle name="Гиперссылка 2 2" xfId="9"/>
    <cellStyle name="ЗаголовокСтолбца" xfId="5"/>
    <cellStyle name="Обычный" xfId="0" builtinId="0"/>
    <cellStyle name="Обычный 10" xfId="6"/>
    <cellStyle name="Обычный 11 2 4" xfId="2"/>
    <cellStyle name="Обычный 14" xfId="8"/>
    <cellStyle name="Обычный 3 4" xfId="1"/>
    <cellStyle name="Процентный 8 2" xfId="4"/>
    <cellStyle name="Финансов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73</xdr:row>
      <xdr:rowOff>38100</xdr:rowOff>
    </xdr:from>
    <xdr:to>
      <xdr:col>1</xdr:col>
      <xdr:colOff>1619250</xdr:colOff>
      <xdr:row>73</xdr:row>
      <xdr:rowOff>228600</xdr:rowOff>
    </xdr:to>
    <xdr:sp macro="[1]!Button_amort" textlink="">
      <xdr:nvSpPr>
        <xdr:cNvPr id="2" name="Скругленный прямоугольник 1" descr="3 4 9 14 19 24 29&#10;">
          <a:extLst>
            <a:ext uri="{FF2B5EF4-FFF2-40B4-BE49-F238E27FC236}">
              <a16:creationId xmlns="" xmlns:a16="http://schemas.microsoft.com/office/drawing/2014/main" id="{00000000-0008-0000-3600-000002000000}"/>
            </a:ext>
          </a:extLst>
        </xdr:cNvPr>
        <xdr:cNvSpPr/>
      </xdr:nvSpPr>
      <xdr:spPr>
        <a:xfrm>
          <a:off x="400050" y="14754225"/>
          <a:ext cx="1457325" cy="190500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twoCellAnchor>
  <xdr:oneCellAnchor>
    <xdr:from>
      <xdr:col>1</xdr:col>
      <xdr:colOff>161925</xdr:colOff>
      <xdr:row>82</xdr:row>
      <xdr:rowOff>38100</xdr:rowOff>
    </xdr:from>
    <xdr:ext cx="1457325" cy="190500"/>
    <xdr:sp macro="[1]!Button_amort" textlink="">
      <xdr:nvSpPr>
        <xdr:cNvPr id="3" name="Скругленный прямоугольник 2" descr="3 4 9 14 19 24 29&#10;">
          <a:extLst>
            <a:ext uri="{FF2B5EF4-FFF2-40B4-BE49-F238E27FC236}">
              <a16:creationId xmlns="" xmlns:a16="http://schemas.microsoft.com/office/drawing/2014/main" id="{00000000-0008-0000-3600-000003000000}"/>
            </a:ext>
          </a:extLst>
        </xdr:cNvPr>
        <xdr:cNvSpPr/>
      </xdr:nvSpPr>
      <xdr:spPr>
        <a:xfrm>
          <a:off x="400050" y="16335375"/>
          <a:ext cx="1457325" cy="190500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91</xdr:row>
      <xdr:rowOff>38100</xdr:rowOff>
    </xdr:from>
    <xdr:ext cx="1457325" cy="190500"/>
    <xdr:sp macro="[1]!Button_amort" textlink="">
      <xdr:nvSpPr>
        <xdr:cNvPr id="4" name="Скругленный прямоугольник 3" descr="3 4 9 14 19 24 29&#10;">
          <a:extLst>
            <a:ext uri="{FF2B5EF4-FFF2-40B4-BE49-F238E27FC236}">
              <a16:creationId xmlns="" xmlns:a16="http://schemas.microsoft.com/office/drawing/2014/main" id="{00000000-0008-0000-3600-000004000000}"/>
            </a:ext>
          </a:extLst>
        </xdr:cNvPr>
        <xdr:cNvSpPr/>
      </xdr:nvSpPr>
      <xdr:spPr>
        <a:xfrm>
          <a:off x="400050" y="17916525"/>
          <a:ext cx="1457325" cy="190500"/>
        </a:xfrm>
        <a:prstGeom prst="roundRect">
          <a:avLst/>
        </a:prstGeom>
        <a:solidFill>
          <a:schemeClr val="bg1">
            <a:lumMod val="75000"/>
          </a:schemeClr>
        </a:solidFill>
        <a:ln w="6350">
          <a:solidFill>
            <a:schemeClr val="tx1">
              <a:lumMod val="65000"/>
              <a:lumOff val="35000"/>
            </a:schemeClr>
          </a:solidFill>
        </a:ln>
        <a:scene3d>
          <a:camera prst="orthographicFront"/>
          <a:lightRig rig="threePt" dir="t"/>
        </a:scene3d>
        <a:sp3d>
          <a:bevelT w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ysClr val="windowText" lastClr="000000"/>
              </a:solidFill>
            </a:rPr>
            <a:t>Добавить</a:t>
          </a:r>
        </a:p>
      </xdr:txBody>
    </xdr:sp>
    <xdr:clientData fLocksWithSheet="0"/>
  </xdr:oneCellAnchor>
  <xdr:twoCellAnchor editAs="oneCell">
    <xdr:from>
      <xdr:col>1</xdr:col>
      <xdr:colOff>57150</xdr:colOff>
      <xdr:row>1</xdr:row>
      <xdr:rowOff>90488</xdr:rowOff>
    </xdr:from>
    <xdr:to>
      <xdr:col>1</xdr:col>
      <xdr:colOff>381000</xdr:colOff>
      <xdr:row>3</xdr:row>
      <xdr:rowOff>80963</xdr:rowOff>
    </xdr:to>
    <xdr:sp macro="[1]!Button_unlock" textlink="">
      <xdr:nvSpPr>
        <xdr:cNvPr id="5" name="b_unlock" hidden="1">
          <a:extLst>
            <a:ext uri="{FF2B5EF4-FFF2-40B4-BE49-F238E27FC236}">
              <a16:creationId xmlns="" xmlns:a16="http://schemas.microsoft.com/office/drawing/2014/main" id="{00000000-0008-0000-3600-000006000000}"/>
            </a:ext>
          </a:extLst>
        </xdr:cNvPr>
        <xdr:cNvSpPr/>
      </xdr:nvSpPr>
      <xdr:spPr>
        <a:xfrm>
          <a:off x="295275" y="3024188"/>
          <a:ext cx="323850" cy="3238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 fPrintsWithSheet="0"/>
  </xdr:twoCellAnchor>
  <xdr:twoCellAnchor editAs="oneCell">
    <xdr:from>
      <xdr:col>1</xdr:col>
      <xdr:colOff>47625</xdr:colOff>
      <xdr:row>1</xdr:row>
      <xdr:rowOff>80963</xdr:rowOff>
    </xdr:from>
    <xdr:to>
      <xdr:col>1</xdr:col>
      <xdr:colOff>381000</xdr:colOff>
      <xdr:row>3</xdr:row>
      <xdr:rowOff>90488</xdr:rowOff>
    </xdr:to>
    <xdr:sp macro="[1]!Button_lock" textlink="">
      <xdr:nvSpPr>
        <xdr:cNvPr id="6" name="b_lock" descr="3, 2">
          <a:extLst>
            <a:ext uri="{FF2B5EF4-FFF2-40B4-BE49-F238E27FC236}">
              <a16:creationId xmlns="" xmlns:a16="http://schemas.microsoft.com/office/drawing/2014/main" id="{00000000-0008-0000-3600-000005000000}"/>
            </a:ext>
          </a:extLst>
        </xdr:cNvPr>
        <xdr:cNvSpPr/>
      </xdr:nvSpPr>
      <xdr:spPr>
        <a:xfrm>
          <a:off x="285750" y="3014663"/>
          <a:ext cx="333375" cy="3429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101;&#1085;&#1077;&#1088;&#1075;&#1077;&#1090;&#1080;&#1095;&#1077;&#1089;&#1082;&#1080;&#1093;%20&#1088;&#1077;&#1089;&#1091;&#1088;&#1089;&#1086;&#1074;/!&#1045;&#1084;&#1077;&#1083;&#1100;&#1103;&#1085;&#1086;&#1074;/&#1069;&#1069;_&#1055;&#1077;&#1088;&#1077;&#1076;&#1072;&#1095;&#1072;%20&#1101;&#1083;&#1077;&#1082;&#1090;&#1088;&#1086;&#1101;&#1085;&#1077;&#1088;&#1075;&#1080;&#1080;_&#1088;&#1072;&#1089;&#1095;&#1077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_Виды деятельности"/>
      <sheetName val="Титульный"/>
      <sheetName val="Скрытый"/>
      <sheetName val="импорт данных"/>
      <sheetName val="ИКА-Эл"/>
      <sheetName val="Сценарии"/>
      <sheetName val="Баланс_ошибки"/>
      <sheetName val="19г балансЭЭ"/>
      <sheetName val="19г балансМ"/>
      <sheetName val="19г опл. потерь"/>
      <sheetName val="19г потери"/>
      <sheetName val="Операционные_ЭОР"/>
      <sheetName val="Неподконтрольные_ЭОР"/>
      <sheetName val="Бездоговорное"/>
      <sheetName val="Кор ОПЕРАЦ"/>
      <sheetName val="Кор НЕПОДК"/>
      <sheetName val="Кор по доходам"/>
      <sheetName val="Кор НиК"/>
      <sheetName val="Кор НВВ"/>
      <sheetName val="Расчет тарифов"/>
      <sheetName val="Калькуляция"/>
      <sheetName val="ЭЭ_Передача электроэнергии_расч"/>
    </sheetNames>
    <definedNames>
      <definedName name="Button_amort"/>
      <definedName name="Button_lock"/>
      <definedName name="Button_un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J34">
            <v>1.6095999999999999</v>
          </cell>
          <cell r="K34">
            <v>3.1497999999999999</v>
          </cell>
          <cell r="L34">
            <v>2.2780999999999998</v>
          </cell>
          <cell r="M34">
            <v>6.0587999999999997</v>
          </cell>
          <cell r="O34">
            <v>1.6095999999999999</v>
          </cell>
          <cell r="P34">
            <v>3.1497999999999999</v>
          </cell>
          <cell r="Q34">
            <v>2.2780999999999998</v>
          </cell>
          <cell r="R34">
            <v>6.0587999999999997</v>
          </cell>
          <cell r="T34">
            <v>1.6095999999999999</v>
          </cell>
          <cell r="U34">
            <v>3.1497999999999999</v>
          </cell>
          <cell r="V34">
            <v>2.2780999999999998</v>
          </cell>
          <cell r="W34">
            <v>6.0587999999999997</v>
          </cell>
          <cell r="Y34">
            <v>1.6095999999999999</v>
          </cell>
          <cell r="Z34">
            <v>3.1497999999999999</v>
          </cell>
          <cell r="AA34">
            <v>2.2780999999999998</v>
          </cell>
          <cell r="AB34">
            <v>6.0587616457703506</v>
          </cell>
          <cell r="AD34">
            <v>1.6095999999999999</v>
          </cell>
          <cell r="AE34">
            <v>3.1497999999999999</v>
          </cell>
          <cell r="AF34">
            <v>2.2780999999999998</v>
          </cell>
          <cell r="AG34">
            <v>6.0588337090394795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"/>
  <sheetViews>
    <sheetView tabSelected="1" workbookViewId="0">
      <selection activeCell="F18" sqref="F18"/>
    </sheetView>
  </sheetViews>
  <sheetFormatPr defaultColWidth="9.140625" defaultRowHeight="12.75" x14ac:dyDescent="0.2"/>
  <cols>
    <col min="1" max="1" width="3.5703125" style="373" customWidth="1"/>
    <col min="2" max="2" width="45" style="374" customWidth="1"/>
    <col min="3" max="3" width="8.85546875" style="374" customWidth="1"/>
    <col min="4" max="4" width="13.42578125" style="374" customWidth="1"/>
    <col min="5" max="5" width="15.140625" style="374" customWidth="1"/>
    <col min="6" max="6" width="19.140625" style="374" customWidth="1"/>
    <col min="7" max="7" width="15.140625" style="374" customWidth="1"/>
    <col min="8" max="8" width="14" style="374" customWidth="1"/>
    <col min="9" max="9" width="12.85546875" style="374" customWidth="1"/>
    <col min="10" max="10" width="14.5703125" style="374" customWidth="1"/>
    <col min="11" max="18" width="9.140625" style="374"/>
    <col min="19" max="19" width="12" style="374" customWidth="1"/>
    <col min="20" max="33" width="16" style="374" customWidth="1"/>
    <col min="34" max="16384" width="9.140625" style="374"/>
  </cols>
  <sheetData>
    <row r="1" spans="1:40" s="205" customFormat="1" x14ac:dyDescent="0.2">
      <c r="A1" s="200"/>
      <c r="B1" s="201" t="s">
        <v>49</v>
      </c>
      <c r="C1" s="202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4"/>
      <c r="AI1" s="204"/>
      <c r="AJ1" s="204"/>
      <c r="AK1" s="204"/>
      <c r="AL1" s="204"/>
      <c r="AM1" s="204"/>
      <c r="AN1" s="204"/>
    </row>
    <row r="2" spans="1:40" s="205" customFormat="1" ht="13.5" thickBot="1" x14ac:dyDescent="0.25">
      <c r="A2" s="200"/>
      <c r="B2" s="206"/>
      <c r="C2" s="207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4"/>
      <c r="AI2" s="204"/>
      <c r="AJ2" s="204"/>
      <c r="AK2" s="204"/>
      <c r="AL2" s="204"/>
      <c r="AM2" s="204"/>
      <c r="AN2" s="204"/>
    </row>
    <row r="3" spans="1:40" s="205" customFormat="1" ht="15" customHeight="1" x14ac:dyDescent="0.2">
      <c r="A3" s="208"/>
      <c r="B3" s="209" t="s">
        <v>1</v>
      </c>
      <c r="C3" s="210" t="s">
        <v>2</v>
      </c>
      <c r="D3" s="211" t="s">
        <v>3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/>
      <c r="S3" s="214" t="s">
        <v>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6"/>
      <c r="AH3" s="204"/>
      <c r="AI3" s="204"/>
      <c r="AJ3" s="204"/>
      <c r="AK3" s="204"/>
      <c r="AL3" s="204"/>
      <c r="AM3" s="204"/>
      <c r="AN3" s="204"/>
    </row>
    <row r="4" spans="1:40" s="205" customFormat="1" ht="15" customHeight="1" x14ac:dyDescent="0.2">
      <c r="A4" s="208"/>
      <c r="B4" s="217"/>
      <c r="C4" s="218"/>
      <c r="D4" s="219" t="s">
        <v>5</v>
      </c>
      <c r="E4" s="220"/>
      <c r="F4" s="220"/>
      <c r="G4" s="220"/>
      <c r="H4" s="221"/>
      <c r="I4" s="222" t="s">
        <v>6</v>
      </c>
      <c r="J4" s="220"/>
      <c r="K4" s="220"/>
      <c r="L4" s="220"/>
      <c r="M4" s="221"/>
      <c r="N4" s="222" t="s">
        <v>7</v>
      </c>
      <c r="O4" s="220"/>
      <c r="P4" s="220"/>
      <c r="Q4" s="220"/>
      <c r="R4" s="223"/>
      <c r="S4" s="219" t="s">
        <v>5</v>
      </c>
      <c r="T4" s="220"/>
      <c r="U4" s="220"/>
      <c r="V4" s="220"/>
      <c r="W4" s="221"/>
      <c r="X4" s="222" t="s">
        <v>6</v>
      </c>
      <c r="Y4" s="220"/>
      <c r="Z4" s="220"/>
      <c r="AA4" s="220"/>
      <c r="AB4" s="221"/>
      <c r="AC4" s="222" t="s">
        <v>7</v>
      </c>
      <c r="AD4" s="220"/>
      <c r="AE4" s="220"/>
      <c r="AF4" s="220"/>
      <c r="AG4" s="223"/>
      <c r="AH4" s="204"/>
      <c r="AI4" s="204"/>
      <c r="AJ4" s="204"/>
      <c r="AK4" s="204"/>
      <c r="AL4" s="204"/>
      <c r="AM4" s="204"/>
      <c r="AN4" s="204"/>
    </row>
    <row r="5" spans="1:40" s="205" customFormat="1" ht="15" customHeight="1" thickBot="1" x14ac:dyDescent="0.25">
      <c r="A5" s="208"/>
      <c r="B5" s="224"/>
      <c r="C5" s="225"/>
      <c r="D5" s="226" t="s">
        <v>8</v>
      </c>
      <c r="E5" s="227" t="s">
        <v>9</v>
      </c>
      <c r="F5" s="227" t="s">
        <v>10</v>
      </c>
      <c r="G5" s="227" t="s">
        <v>11</v>
      </c>
      <c r="H5" s="227" t="s">
        <v>12</v>
      </c>
      <c r="I5" s="227" t="s">
        <v>8</v>
      </c>
      <c r="J5" s="227" t="s">
        <v>9</v>
      </c>
      <c r="K5" s="227" t="s">
        <v>10</v>
      </c>
      <c r="L5" s="227" t="s">
        <v>11</v>
      </c>
      <c r="M5" s="227" t="s">
        <v>12</v>
      </c>
      <c r="N5" s="227" t="s">
        <v>8</v>
      </c>
      <c r="O5" s="227" t="s">
        <v>9</v>
      </c>
      <c r="P5" s="227" t="s">
        <v>10</v>
      </c>
      <c r="Q5" s="227" t="s">
        <v>11</v>
      </c>
      <c r="R5" s="228" t="s">
        <v>12</v>
      </c>
      <c r="S5" s="226" t="s">
        <v>8</v>
      </c>
      <c r="T5" s="227" t="s">
        <v>9</v>
      </c>
      <c r="U5" s="227" t="s">
        <v>10</v>
      </c>
      <c r="V5" s="227" t="s">
        <v>11</v>
      </c>
      <c r="W5" s="227" t="s">
        <v>12</v>
      </c>
      <c r="X5" s="229" t="s">
        <v>8</v>
      </c>
      <c r="Y5" s="229" t="s">
        <v>9</v>
      </c>
      <c r="Z5" s="229" t="s">
        <v>10</v>
      </c>
      <c r="AA5" s="229" t="s">
        <v>11</v>
      </c>
      <c r="AB5" s="229" t="s">
        <v>12</v>
      </c>
      <c r="AC5" s="227" t="s">
        <v>8</v>
      </c>
      <c r="AD5" s="227" t="s">
        <v>9</v>
      </c>
      <c r="AE5" s="227" t="s">
        <v>10</v>
      </c>
      <c r="AF5" s="227" t="s">
        <v>11</v>
      </c>
      <c r="AG5" s="230" t="s">
        <v>12</v>
      </c>
      <c r="AH5" s="204"/>
      <c r="AI5" s="204"/>
      <c r="AJ5" s="204"/>
      <c r="AK5" s="204"/>
      <c r="AL5" s="204"/>
      <c r="AM5" s="204"/>
      <c r="AN5" s="204"/>
    </row>
    <row r="6" spans="1:40" s="205" customFormat="1" ht="25.5" x14ac:dyDescent="0.2">
      <c r="A6" s="231"/>
      <c r="B6" s="232" t="s">
        <v>33</v>
      </c>
      <c r="C6" s="233" t="s">
        <v>34</v>
      </c>
      <c r="D6" s="234">
        <f>ROUND(I6+N6,4)</f>
        <v>671.01239999999996</v>
      </c>
      <c r="E6" s="235">
        <f>ROUND(J6+O6,4)</f>
        <v>298.39359999999999</v>
      </c>
      <c r="F6" s="235">
        <f>ROUND(K6+P6,4)</f>
        <v>146.55500000000001</v>
      </c>
      <c r="G6" s="235">
        <f>ROUND(L6+Q6,4)</f>
        <v>251.32900000000001</v>
      </c>
      <c r="H6" s="236">
        <f>ROUND(M6+R6,4)</f>
        <v>31.080200000000001</v>
      </c>
      <c r="I6" s="237">
        <f>ROUND(I12+I13+I14+I15,4)</f>
        <v>335.50619999999998</v>
      </c>
      <c r="J6" s="235">
        <f>ROUND(J12+J13+J14+J15,4)</f>
        <v>149.1968</v>
      </c>
      <c r="K6" s="235">
        <f>ROUND(K7+K12+K13+K14+K15,4)</f>
        <v>73.277500000000003</v>
      </c>
      <c r="L6" s="235">
        <f>ROUND(L7+L12+L13+L14+L15,4)</f>
        <v>125.6645</v>
      </c>
      <c r="M6" s="238">
        <f>ROUND(M7+M12+M13+M14+M15,4)</f>
        <v>15.540100000000001</v>
      </c>
      <c r="N6" s="237">
        <f>ROUND(N12+N13+N14+N15,4)</f>
        <v>335.50619999999998</v>
      </c>
      <c r="O6" s="235">
        <f>ROUND(O12+O13+O14+O15,4)</f>
        <v>149.1968</v>
      </c>
      <c r="P6" s="235">
        <f>ROUND(P7+P12+P13+P14+P15,4)</f>
        <v>73.277500000000003</v>
      </c>
      <c r="Q6" s="235">
        <f>ROUND(Q7+Q12+Q13+Q14+Q15,4)</f>
        <v>125.6645</v>
      </c>
      <c r="R6" s="238">
        <f>ROUND(R7+R12+R13+R14+R15,4)</f>
        <v>15.540100000000001</v>
      </c>
      <c r="S6" s="234">
        <f>ROUND(X6+AC6,4)</f>
        <v>678.56579999999997</v>
      </c>
      <c r="T6" s="235">
        <f>ROUND(Y6+AD6,4)</f>
        <v>308.08640000000003</v>
      </c>
      <c r="U6" s="235">
        <f>ROUND(Z6+AE6,4)</f>
        <v>141.66890000000001</v>
      </c>
      <c r="V6" s="235">
        <f>ROUND(AA6+AF6,4)</f>
        <v>250.32509999999999</v>
      </c>
      <c r="W6" s="236">
        <f>ROUND(AB6+AG6,4)</f>
        <v>33.630400000000002</v>
      </c>
      <c r="X6" s="237">
        <f>X15+X14+X13+X12</f>
        <v>339.49738176724338</v>
      </c>
      <c r="Y6" s="235">
        <f>Y15+Y14+Y13+Y12</f>
        <v>150.58180912334856</v>
      </c>
      <c r="Z6" s="235">
        <f>Z15+Z14+Z13+Z12+Z7</f>
        <v>72.004187693901926</v>
      </c>
      <c r="AA6" s="235">
        <f>AA15+AA14+AA13+AA12+AA7</f>
        <v>126.05753471176371</v>
      </c>
      <c r="AB6" s="238">
        <f>AB19+AB18+AB16</f>
        <v>16.815317379438898</v>
      </c>
      <c r="AC6" s="234">
        <f>AC15+AC14+AC13+AC12</f>
        <v>339.06844379352037</v>
      </c>
      <c r="AD6" s="235">
        <f>AD15+AD14+AD13+AD12</f>
        <v>157.50455189217544</v>
      </c>
      <c r="AE6" s="235">
        <f>AE15+AE14+AE13+AE12+AE7</f>
        <v>69.664706951352059</v>
      </c>
      <c r="AF6" s="235">
        <f>AF15+AF14+AF13+AF12+AF7</f>
        <v>124.26758423486251</v>
      </c>
      <c r="AG6" s="238">
        <f>AG19+AG18+AG16</f>
        <v>16.815117379438899</v>
      </c>
      <c r="AH6" s="204"/>
      <c r="AI6" s="204"/>
      <c r="AJ6" s="204"/>
      <c r="AK6" s="204"/>
      <c r="AL6" s="204"/>
      <c r="AM6" s="204"/>
      <c r="AN6" s="204"/>
    </row>
    <row r="7" spans="1:40" s="205" customFormat="1" ht="25.5" x14ac:dyDescent="0.2">
      <c r="A7" s="208"/>
      <c r="B7" s="239" t="s">
        <v>15</v>
      </c>
      <c r="C7" s="240" t="s">
        <v>34</v>
      </c>
      <c r="D7" s="241"/>
      <c r="E7" s="242" t="s">
        <v>16</v>
      </c>
      <c r="F7" s="243">
        <f>ROUND(K7+P7,4)</f>
        <v>0</v>
      </c>
      <c r="G7" s="243">
        <f>ROUND(L7+Q7,4)</f>
        <v>26.110600000000002</v>
      </c>
      <c r="H7" s="244">
        <f>ROUND(M7+R7,4)</f>
        <v>30.2346</v>
      </c>
      <c r="I7" s="245" t="s">
        <v>16</v>
      </c>
      <c r="J7" s="242" t="s">
        <v>16</v>
      </c>
      <c r="K7" s="246">
        <f>ROUND(K9,4)</f>
        <v>0</v>
      </c>
      <c r="L7" s="246">
        <f>ROUND(L9+L10,4)</f>
        <v>13.055300000000001</v>
      </c>
      <c r="M7" s="247">
        <f>ROUND(M9+M10+M11,4)</f>
        <v>15.1173</v>
      </c>
      <c r="N7" s="245" t="s">
        <v>16</v>
      </c>
      <c r="O7" s="242" t="s">
        <v>16</v>
      </c>
      <c r="P7" s="246">
        <f>ROUND(P9,4)</f>
        <v>0</v>
      </c>
      <c r="Q7" s="246">
        <f>ROUND(Q9+Q10,4)</f>
        <v>13.055300000000001</v>
      </c>
      <c r="R7" s="247">
        <f>ROUND(R9+R10+R11,4)</f>
        <v>15.1173</v>
      </c>
      <c r="S7" s="241" t="s">
        <v>16</v>
      </c>
      <c r="T7" s="242" t="s">
        <v>16</v>
      </c>
      <c r="U7" s="243">
        <f>ROUND(Z7+AE7,4)</f>
        <v>0</v>
      </c>
      <c r="V7" s="243">
        <f>ROUND(AA7+AF7,4)</f>
        <v>25.064499999999999</v>
      </c>
      <c r="W7" s="244">
        <f>ROUND(AB7+AG7,4)</f>
        <v>30.080500000000001</v>
      </c>
      <c r="X7" s="242" t="s">
        <v>16</v>
      </c>
      <c r="Y7" s="242" t="s">
        <v>16</v>
      </c>
      <c r="Z7" s="246">
        <f>Z9</f>
        <v>0</v>
      </c>
      <c r="AA7" s="246">
        <f>AA10+AA9</f>
        <v>10.921134711763699</v>
      </c>
      <c r="AB7" s="247">
        <f>AB11</f>
        <v>15.040332429445991</v>
      </c>
      <c r="AC7" s="242" t="s">
        <v>16</v>
      </c>
      <c r="AD7" s="242" t="s">
        <v>16</v>
      </c>
      <c r="AE7" s="246">
        <f>AE9</f>
        <v>0</v>
      </c>
      <c r="AF7" s="246">
        <f>AF10+AF9</f>
        <v>14.143384234862509</v>
      </c>
      <c r="AG7" s="247">
        <f>AG11</f>
        <v>15.040132429445991</v>
      </c>
      <c r="AH7" s="204"/>
      <c r="AI7" s="204"/>
      <c r="AJ7" s="204"/>
      <c r="AK7" s="204"/>
      <c r="AL7" s="204"/>
      <c r="AM7" s="204"/>
      <c r="AN7" s="204"/>
    </row>
    <row r="8" spans="1:40" s="205" customFormat="1" ht="25.5" x14ac:dyDescent="0.2">
      <c r="A8" s="208"/>
      <c r="B8" s="239" t="s">
        <v>17</v>
      </c>
      <c r="C8" s="240" t="s">
        <v>34</v>
      </c>
      <c r="D8" s="241" t="s">
        <v>16</v>
      </c>
      <c r="E8" s="242" t="s">
        <v>16</v>
      </c>
      <c r="F8" s="242" t="s">
        <v>16</v>
      </c>
      <c r="G8" s="242" t="s">
        <v>16</v>
      </c>
      <c r="H8" s="248" t="s">
        <v>16</v>
      </c>
      <c r="I8" s="245" t="s">
        <v>16</v>
      </c>
      <c r="J8" s="242" t="s">
        <v>16</v>
      </c>
      <c r="K8" s="242" t="s">
        <v>16</v>
      </c>
      <c r="L8" s="242" t="s">
        <v>16</v>
      </c>
      <c r="M8" s="249" t="s">
        <v>16</v>
      </c>
      <c r="N8" s="245" t="s">
        <v>16</v>
      </c>
      <c r="O8" s="242" t="s">
        <v>16</v>
      </c>
      <c r="P8" s="242" t="s">
        <v>16</v>
      </c>
      <c r="Q8" s="242" t="s">
        <v>16</v>
      </c>
      <c r="R8" s="249" t="s">
        <v>16</v>
      </c>
      <c r="S8" s="241" t="s">
        <v>16</v>
      </c>
      <c r="T8" s="242" t="s">
        <v>16</v>
      </c>
      <c r="U8" s="242" t="s">
        <v>16</v>
      </c>
      <c r="V8" s="242" t="s">
        <v>16</v>
      </c>
      <c r="W8" s="248" t="s">
        <v>16</v>
      </c>
      <c r="X8" s="242" t="s">
        <v>16</v>
      </c>
      <c r="Y8" s="242" t="s">
        <v>16</v>
      </c>
      <c r="Z8" s="242" t="s">
        <v>16</v>
      </c>
      <c r="AA8" s="242" t="s">
        <v>16</v>
      </c>
      <c r="AB8" s="242" t="s">
        <v>16</v>
      </c>
      <c r="AC8" s="242" t="s">
        <v>16</v>
      </c>
      <c r="AD8" s="242" t="s">
        <v>16</v>
      </c>
      <c r="AE8" s="242" t="s">
        <v>16</v>
      </c>
      <c r="AF8" s="242" t="s">
        <v>16</v>
      </c>
      <c r="AG8" s="242" t="s">
        <v>16</v>
      </c>
      <c r="AH8" s="204"/>
      <c r="AI8" s="204"/>
      <c r="AJ8" s="204"/>
      <c r="AK8" s="204"/>
      <c r="AL8" s="204"/>
      <c r="AM8" s="204"/>
      <c r="AN8" s="204"/>
    </row>
    <row r="9" spans="1:40" s="205" customFormat="1" ht="25.5" x14ac:dyDescent="0.2">
      <c r="A9" s="200"/>
      <c r="B9" s="250" t="s">
        <v>9</v>
      </c>
      <c r="C9" s="251" t="s">
        <v>34</v>
      </c>
      <c r="D9" s="34" t="s">
        <v>16</v>
      </c>
      <c r="E9" s="35" t="s">
        <v>16</v>
      </c>
      <c r="F9" s="243">
        <f>ROUND(K9+P9,4)</f>
        <v>0</v>
      </c>
      <c r="G9" s="243">
        <f>ROUND(L9+Q9,4)</f>
        <v>12.182399999999999</v>
      </c>
      <c r="H9" s="244">
        <f>ROUND(M9+R9,4)</f>
        <v>0</v>
      </c>
      <c r="I9" s="36" t="s">
        <v>16</v>
      </c>
      <c r="J9" s="35" t="s">
        <v>16</v>
      </c>
      <c r="K9" s="252"/>
      <c r="L9" s="246">
        <f>ROUND(J6-J16-J18-J19-M9-K9,4)</f>
        <v>6.0911999999999997</v>
      </c>
      <c r="M9" s="252"/>
      <c r="N9" s="36" t="s">
        <v>16</v>
      </c>
      <c r="O9" s="35" t="s">
        <v>16</v>
      </c>
      <c r="P9" s="252"/>
      <c r="Q9" s="246">
        <f>ROUND(O6-O16-O18-O19-R9-P9,4)</f>
        <v>6.0911999999999997</v>
      </c>
      <c r="R9" s="252"/>
      <c r="S9" s="34" t="s">
        <v>16</v>
      </c>
      <c r="T9" s="35" t="s">
        <v>16</v>
      </c>
      <c r="U9" s="243">
        <f>ROUND(Z9+AE9,4)</f>
        <v>0</v>
      </c>
      <c r="V9" s="243">
        <f>ROUND(AA9+AF9,4)</f>
        <v>18.616</v>
      </c>
      <c r="W9" s="244">
        <f>ROUND(AB9+AG9,4)</f>
        <v>0</v>
      </c>
      <c r="X9" s="242" t="s">
        <v>16</v>
      </c>
      <c r="Y9" s="242" t="s">
        <v>16</v>
      </c>
      <c r="Z9" s="252"/>
      <c r="AA9" s="246">
        <f>Y6-Y16-Y18-Y19-Z9</f>
        <v>6.5639724737788754</v>
      </c>
      <c r="AB9" s="253"/>
      <c r="AC9" s="242" t="s">
        <v>16</v>
      </c>
      <c r="AD9" s="242" t="s">
        <v>16</v>
      </c>
      <c r="AE9" s="252"/>
      <c r="AF9" s="246">
        <f>AD6-AD16-AD18-AD19-AE9</f>
        <v>12.051987274998709</v>
      </c>
      <c r="AG9" s="252"/>
      <c r="AH9" s="204"/>
      <c r="AI9" s="204"/>
      <c r="AJ9" s="204"/>
      <c r="AK9" s="204"/>
      <c r="AL9" s="204"/>
      <c r="AM9" s="204"/>
      <c r="AN9" s="204"/>
    </row>
    <row r="10" spans="1:40" s="205" customFormat="1" ht="25.5" x14ac:dyDescent="0.2">
      <c r="A10" s="200"/>
      <c r="B10" s="250" t="s">
        <v>10</v>
      </c>
      <c r="C10" s="251" t="s">
        <v>34</v>
      </c>
      <c r="D10" s="34" t="s">
        <v>16</v>
      </c>
      <c r="E10" s="35" t="s">
        <v>16</v>
      </c>
      <c r="F10" s="242" t="s">
        <v>16</v>
      </c>
      <c r="G10" s="243">
        <f>ROUND(L10+Q10,4)</f>
        <v>13.9282</v>
      </c>
      <c r="H10" s="244">
        <f>ROUND(M10+R10,4)</f>
        <v>0</v>
      </c>
      <c r="I10" s="36" t="s">
        <v>16</v>
      </c>
      <c r="J10" s="35" t="s">
        <v>16</v>
      </c>
      <c r="K10" s="35" t="s">
        <v>16</v>
      </c>
      <c r="L10" s="246">
        <f>ROUND(K6-K16-K18-K19-M10,4)</f>
        <v>6.9641000000000002</v>
      </c>
      <c r="M10" s="252"/>
      <c r="N10" s="36" t="s">
        <v>16</v>
      </c>
      <c r="O10" s="35" t="s">
        <v>16</v>
      </c>
      <c r="P10" s="35" t="s">
        <v>16</v>
      </c>
      <c r="Q10" s="246">
        <f>ROUND(P6-P16-P18-P19-R10,4)</f>
        <v>6.9641000000000002</v>
      </c>
      <c r="R10" s="252"/>
      <c r="S10" s="34" t="s">
        <v>16</v>
      </c>
      <c r="T10" s="35" t="s">
        <v>16</v>
      </c>
      <c r="U10" s="242" t="s">
        <v>16</v>
      </c>
      <c r="V10" s="243">
        <f>ROUND(AA10+AF10,4)</f>
        <v>6.4485999999999999</v>
      </c>
      <c r="W10" s="244">
        <f>ROUND(AB10+AG10,4)</f>
        <v>0</v>
      </c>
      <c r="X10" s="242" t="s">
        <v>16</v>
      </c>
      <c r="Y10" s="242" t="s">
        <v>16</v>
      </c>
      <c r="Z10" s="242" t="s">
        <v>16</v>
      </c>
      <c r="AA10" s="246">
        <f>Z6-Z16-Z18-Z19</f>
        <v>4.3571622379848236</v>
      </c>
      <c r="AB10" s="253"/>
      <c r="AC10" s="242" t="s">
        <v>16</v>
      </c>
      <c r="AD10" s="242" t="s">
        <v>16</v>
      </c>
      <c r="AE10" s="242" t="s">
        <v>16</v>
      </c>
      <c r="AF10" s="246">
        <f>AE6-AE16-AE18-AE19</f>
        <v>2.0913969598638005</v>
      </c>
      <c r="AG10" s="252"/>
      <c r="AH10" s="204"/>
      <c r="AI10" s="204"/>
      <c r="AJ10" s="204"/>
      <c r="AK10" s="204"/>
      <c r="AL10" s="204"/>
      <c r="AM10" s="204"/>
      <c r="AN10" s="204"/>
    </row>
    <row r="11" spans="1:40" s="205" customFormat="1" ht="25.5" x14ac:dyDescent="0.2">
      <c r="A11" s="200"/>
      <c r="B11" s="250" t="s">
        <v>11</v>
      </c>
      <c r="C11" s="251" t="s">
        <v>34</v>
      </c>
      <c r="D11" s="34" t="s">
        <v>16</v>
      </c>
      <c r="E11" s="35" t="s">
        <v>16</v>
      </c>
      <c r="F11" s="35" t="s">
        <v>16</v>
      </c>
      <c r="G11" s="35" t="s">
        <v>16</v>
      </c>
      <c r="H11" s="244">
        <f t="shared" ref="H11:H16" si="0">ROUND(M11+R11,4)</f>
        <v>30.2346</v>
      </c>
      <c r="I11" s="36" t="s">
        <v>16</v>
      </c>
      <c r="J11" s="35" t="s">
        <v>16</v>
      </c>
      <c r="K11" s="35" t="s">
        <v>16</v>
      </c>
      <c r="L11" s="35" t="s">
        <v>16</v>
      </c>
      <c r="M11" s="247">
        <f>ROUND(L6-L16-L18-L19,4)</f>
        <v>15.1173</v>
      </c>
      <c r="N11" s="36" t="s">
        <v>16</v>
      </c>
      <c r="O11" s="35" t="s">
        <v>16</v>
      </c>
      <c r="P11" s="35" t="s">
        <v>16</v>
      </c>
      <c r="Q11" s="35" t="s">
        <v>16</v>
      </c>
      <c r="R11" s="247">
        <f>ROUND(Q6-Q16-Q18-Q19,4)</f>
        <v>15.1173</v>
      </c>
      <c r="S11" s="34" t="s">
        <v>16</v>
      </c>
      <c r="T11" s="35" t="s">
        <v>16</v>
      </c>
      <c r="U11" s="35" t="s">
        <v>16</v>
      </c>
      <c r="V11" s="35" t="s">
        <v>16</v>
      </c>
      <c r="W11" s="244">
        <f t="shared" ref="W11:W16" si="1">ROUND(AB11+AG11,4)</f>
        <v>30.080500000000001</v>
      </c>
      <c r="X11" s="242" t="s">
        <v>16</v>
      </c>
      <c r="Y11" s="242" t="s">
        <v>16</v>
      </c>
      <c r="Z11" s="242" t="s">
        <v>16</v>
      </c>
      <c r="AA11" s="242" t="s">
        <v>16</v>
      </c>
      <c r="AB11" s="247">
        <f>AB6-AB12-AB13-AB14-AB15</f>
        <v>15.040332429445991</v>
      </c>
      <c r="AC11" s="242" t="s">
        <v>16</v>
      </c>
      <c r="AD11" s="242" t="s">
        <v>16</v>
      </c>
      <c r="AE11" s="242" t="s">
        <v>16</v>
      </c>
      <c r="AF11" s="242" t="s">
        <v>16</v>
      </c>
      <c r="AG11" s="247">
        <f>AG6-AG12-AG13-AG14-AG15</f>
        <v>15.040132429445991</v>
      </c>
      <c r="AH11" s="204"/>
      <c r="AI11" s="204"/>
      <c r="AJ11" s="204"/>
      <c r="AK11" s="204"/>
      <c r="AL11" s="204"/>
      <c r="AM11" s="204"/>
      <c r="AN11" s="204"/>
    </row>
    <row r="12" spans="1:40" s="205" customFormat="1" ht="25.5" x14ac:dyDescent="0.2">
      <c r="A12" s="200"/>
      <c r="B12" s="250" t="s">
        <v>18</v>
      </c>
      <c r="C12" s="251" t="s">
        <v>34</v>
      </c>
      <c r="D12" s="254">
        <f t="shared" ref="D12:G16" si="2">ROUND(I12+N12,4)</f>
        <v>187.90719999999999</v>
      </c>
      <c r="E12" s="243">
        <f t="shared" si="2"/>
        <v>0</v>
      </c>
      <c r="F12" s="243">
        <f t="shared" si="2"/>
        <v>0</v>
      </c>
      <c r="G12" s="243">
        <f t="shared" si="2"/>
        <v>187.90729999999999</v>
      </c>
      <c r="H12" s="244">
        <f t="shared" si="0"/>
        <v>0</v>
      </c>
      <c r="I12" s="255">
        <f>ROUND(SUM(J12:M12),4)</f>
        <v>93.953599999999994</v>
      </c>
      <c r="J12" s="252"/>
      <c r="K12" s="252"/>
      <c r="L12" s="252">
        <v>93.953627499999939</v>
      </c>
      <c r="M12" s="252"/>
      <c r="N12" s="255">
        <f>ROUND(SUM(O12:R12),4)</f>
        <v>93.953599999999994</v>
      </c>
      <c r="O12" s="252"/>
      <c r="P12" s="252"/>
      <c r="Q12" s="252">
        <v>93.953627499999939</v>
      </c>
      <c r="R12" s="252"/>
      <c r="S12" s="254">
        <f t="shared" ref="S12:V16" si="3">ROUND(X12+AC12,4)</f>
        <v>185</v>
      </c>
      <c r="T12" s="243">
        <f t="shared" si="3"/>
        <v>0</v>
      </c>
      <c r="U12" s="243">
        <f t="shared" si="3"/>
        <v>0</v>
      </c>
      <c r="V12" s="243">
        <f t="shared" si="3"/>
        <v>185</v>
      </c>
      <c r="W12" s="244">
        <f t="shared" si="1"/>
        <v>0</v>
      </c>
      <c r="X12" s="255">
        <f>SUM(Y12:AB12)</f>
        <v>95</v>
      </c>
      <c r="Y12" s="252"/>
      <c r="Z12" s="252"/>
      <c r="AA12" s="252">
        <v>95</v>
      </c>
      <c r="AB12" s="253"/>
      <c r="AC12" s="256">
        <f>SUM(AD12:AG12)</f>
        <v>90</v>
      </c>
      <c r="AD12" s="252"/>
      <c r="AE12" s="252"/>
      <c r="AF12" s="252">
        <v>90</v>
      </c>
      <c r="AG12" s="252"/>
      <c r="AH12" s="204"/>
      <c r="AI12" s="204"/>
      <c r="AJ12" s="204"/>
      <c r="AK12" s="204"/>
      <c r="AL12" s="204"/>
      <c r="AM12" s="204"/>
      <c r="AN12" s="204"/>
    </row>
    <row r="13" spans="1:40" s="205" customFormat="1" ht="25.5" x14ac:dyDescent="0.2">
      <c r="A13" s="200"/>
      <c r="B13" s="250" t="s">
        <v>19</v>
      </c>
      <c r="C13" s="251" t="s">
        <v>34</v>
      </c>
      <c r="D13" s="254">
        <f t="shared" si="2"/>
        <v>37.8842</v>
      </c>
      <c r="E13" s="243">
        <f t="shared" si="2"/>
        <v>37.8842</v>
      </c>
      <c r="F13" s="243">
        <f t="shared" si="2"/>
        <v>0</v>
      </c>
      <c r="G13" s="243">
        <f t="shared" si="2"/>
        <v>0</v>
      </c>
      <c r="H13" s="244">
        <f t="shared" si="0"/>
        <v>0</v>
      </c>
      <c r="I13" s="255">
        <f>ROUND(SUM(J13:M13),4)</f>
        <v>18.9421</v>
      </c>
      <c r="J13" s="252">
        <v>18.942081499999997</v>
      </c>
      <c r="K13" s="252"/>
      <c r="L13" s="252"/>
      <c r="M13" s="252"/>
      <c r="N13" s="255">
        <f>ROUND(SUM(O13:R13),4)</f>
        <v>18.9421</v>
      </c>
      <c r="O13" s="252">
        <v>18.942081499999997</v>
      </c>
      <c r="P13" s="252"/>
      <c r="Q13" s="252"/>
      <c r="R13" s="252"/>
      <c r="S13" s="254">
        <f t="shared" si="3"/>
        <v>37</v>
      </c>
      <c r="T13" s="243">
        <f t="shared" si="3"/>
        <v>37</v>
      </c>
      <c r="U13" s="243">
        <f t="shared" si="3"/>
        <v>0</v>
      </c>
      <c r="V13" s="243">
        <f t="shared" si="3"/>
        <v>0</v>
      </c>
      <c r="W13" s="244">
        <f t="shared" si="1"/>
        <v>0</v>
      </c>
      <c r="X13" s="255">
        <f>SUM(Y13:AB13)</f>
        <v>18.5</v>
      </c>
      <c r="Y13" s="252">
        <v>18.5</v>
      </c>
      <c r="Z13" s="252"/>
      <c r="AA13" s="252"/>
      <c r="AB13" s="253"/>
      <c r="AC13" s="256">
        <f>SUM(AD13:AG13)</f>
        <v>18.5</v>
      </c>
      <c r="AD13" s="252">
        <v>18.5</v>
      </c>
      <c r="AE13" s="252"/>
      <c r="AF13" s="252"/>
      <c r="AG13" s="252"/>
      <c r="AH13" s="204"/>
      <c r="AI13" s="204"/>
      <c r="AJ13" s="204"/>
      <c r="AK13" s="204"/>
      <c r="AL13" s="204"/>
      <c r="AM13" s="204"/>
      <c r="AN13" s="204"/>
    </row>
    <row r="14" spans="1:40" s="205" customFormat="1" ht="25.5" x14ac:dyDescent="0.2">
      <c r="A14" s="200"/>
      <c r="B14" s="250" t="s">
        <v>20</v>
      </c>
      <c r="C14" s="251" t="s">
        <v>34</v>
      </c>
      <c r="D14" s="254">
        <f t="shared" si="2"/>
        <v>445.00259999999997</v>
      </c>
      <c r="E14" s="243">
        <f t="shared" si="2"/>
        <v>260.50940000000003</v>
      </c>
      <c r="F14" s="243">
        <f t="shared" si="2"/>
        <v>146.55500000000001</v>
      </c>
      <c r="G14" s="243">
        <f t="shared" si="2"/>
        <v>37.092599999999997</v>
      </c>
      <c r="H14" s="244">
        <f t="shared" si="0"/>
        <v>0.84550000000000003</v>
      </c>
      <c r="I14" s="255">
        <f>ROUND(SUM(J14:M14),4)</f>
        <v>222.50129999999999</v>
      </c>
      <c r="J14" s="252">
        <v>130.25470589282463</v>
      </c>
      <c r="K14" s="252">
        <v>73.277484115902638</v>
      </c>
      <c r="L14" s="252">
        <v>18.546317000000005</v>
      </c>
      <c r="M14" s="252">
        <v>0.42276799999999981</v>
      </c>
      <c r="N14" s="255">
        <f>ROUND(SUM(O14:R14),4)</f>
        <v>222.50129999999999</v>
      </c>
      <c r="O14" s="252">
        <v>130.25470589282463</v>
      </c>
      <c r="P14" s="252">
        <v>73.277484115902638</v>
      </c>
      <c r="Q14" s="252">
        <v>18.546317000000005</v>
      </c>
      <c r="R14" s="252">
        <v>0.42276599999999998</v>
      </c>
      <c r="S14" s="254">
        <f t="shared" si="3"/>
        <v>456.36579999999998</v>
      </c>
      <c r="T14" s="243">
        <f t="shared" si="3"/>
        <v>271.08640000000003</v>
      </c>
      <c r="U14" s="243">
        <f t="shared" si="3"/>
        <v>141.66890000000001</v>
      </c>
      <c r="V14" s="243">
        <f t="shared" si="3"/>
        <v>40.060600000000001</v>
      </c>
      <c r="W14" s="244">
        <f t="shared" si="1"/>
        <v>3.55</v>
      </c>
      <c r="X14" s="255">
        <f>SUM(Y14:AB14)</f>
        <v>225.89738176724339</v>
      </c>
      <c r="Y14" s="252">
        <v>132.08180912334856</v>
      </c>
      <c r="Z14" s="252">
        <v>72.004187693901926</v>
      </c>
      <c r="AA14" s="252">
        <v>20.0364</v>
      </c>
      <c r="AB14" s="253">
        <v>1.7749849499929071</v>
      </c>
      <c r="AC14" s="256">
        <f>SUM(AD14:AG14)</f>
        <v>230.46844379352041</v>
      </c>
      <c r="AD14" s="252">
        <v>139.00455189217544</v>
      </c>
      <c r="AE14" s="252">
        <v>69.664706951352059</v>
      </c>
      <c r="AF14" s="252">
        <v>20.0242</v>
      </c>
      <c r="AG14" s="252">
        <v>1.7749849499929071</v>
      </c>
      <c r="AH14" s="204"/>
      <c r="AI14" s="204"/>
      <c r="AJ14" s="204"/>
      <c r="AK14" s="204"/>
      <c r="AL14" s="204"/>
      <c r="AM14" s="204"/>
      <c r="AN14" s="204"/>
    </row>
    <row r="15" spans="1:40" s="205" customFormat="1" ht="25.5" x14ac:dyDescent="0.2">
      <c r="A15" s="200"/>
      <c r="B15" s="250" t="s">
        <v>35</v>
      </c>
      <c r="C15" s="251" t="s">
        <v>34</v>
      </c>
      <c r="D15" s="254">
        <f t="shared" si="2"/>
        <v>0.21840000000000001</v>
      </c>
      <c r="E15" s="243">
        <f t="shared" si="2"/>
        <v>0</v>
      </c>
      <c r="F15" s="243">
        <f t="shared" si="2"/>
        <v>0</v>
      </c>
      <c r="G15" s="243">
        <f t="shared" si="2"/>
        <v>0.21840000000000001</v>
      </c>
      <c r="H15" s="244">
        <f t="shared" si="0"/>
        <v>0</v>
      </c>
      <c r="I15" s="255">
        <f>ROUND(SUM(J15:M15),4)</f>
        <v>0.10920000000000001</v>
      </c>
      <c r="J15" s="252"/>
      <c r="K15" s="252"/>
      <c r="L15" s="252">
        <v>0.10921150000000002</v>
      </c>
      <c r="M15" s="252"/>
      <c r="N15" s="255">
        <f>ROUND(SUM(O15:R15),4)</f>
        <v>0.10920000000000001</v>
      </c>
      <c r="O15" s="252"/>
      <c r="P15" s="252"/>
      <c r="Q15" s="252">
        <v>0.10921150000000002</v>
      </c>
      <c r="R15" s="252"/>
      <c r="S15" s="254">
        <f t="shared" si="3"/>
        <v>0.2</v>
      </c>
      <c r="T15" s="243">
        <f t="shared" si="3"/>
        <v>0</v>
      </c>
      <c r="U15" s="243">
        <f t="shared" si="3"/>
        <v>0</v>
      </c>
      <c r="V15" s="243">
        <f t="shared" si="3"/>
        <v>0.2</v>
      </c>
      <c r="W15" s="244">
        <f t="shared" si="1"/>
        <v>0</v>
      </c>
      <c r="X15" s="255">
        <f>SUM(Y15:AB15)</f>
        <v>0.1</v>
      </c>
      <c r="Y15" s="252"/>
      <c r="Z15" s="252"/>
      <c r="AA15" s="252">
        <v>0.1</v>
      </c>
      <c r="AB15" s="253"/>
      <c r="AC15" s="256">
        <f>SUM(AD15:AG15)</f>
        <v>0.1</v>
      </c>
      <c r="AD15" s="252"/>
      <c r="AE15" s="252"/>
      <c r="AF15" s="252">
        <v>0.1</v>
      </c>
      <c r="AG15" s="252"/>
      <c r="AH15" s="204"/>
      <c r="AI15" s="204"/>
      <c r="AJ15" s="204"/>
      <c r="AK15" s="204"/>
      <c r="AL15" s="204"/>
      <c r="AM15" s="204"/>
      <c r="AN15" s="204"/>
    </row>
    <row r="16" spans="1:40" s="205" customFormat="1" ht="25.5" x14ac:dyDescent="0.2">
      <c r="A16" s="257"/>
      <c r="B16" s="258" t="s">
        <v>22</v>
      </c>
      <c r="C16" s="259" t="s">
        <v>34</v>
      </c>
      <c r="D16" s="256">
        <f t="shared" si="2"/>
        <v>17.027699999999999</v>
      </c>
      <c r="E16" s="246">
        <f t="shared" si="2"/>
        <v>4.8029000000000002</v>
      </c>
      <c r="F16" s="246">
        <f t="shared" si="2"/>
        <v>4.6162000000000001</v>
      </c>
      <c r="G16" s="246">
        <f t="shared" si="2"/>
        <v>5.7255000000000003</v>
      </c>
      <c r="H16" s="260">
        <f t="shared" si="0"/>
        <v>1.8831</v>
      </c>
      <c r="I16" s="255">
        <f>SUM(J16:M16)</f>
        <v>8.5138710087272482</v>
      </c>
      <c r="J16" s="261">
        <v>2.401471489874905</v>
      </c>
      <c r="K16" s="261">
        <v>2.3080941946827012</v>
      </c>
      <c r="L16" s="261">
        <v>2.8627631527424082</v>
      </c>
      <c r="M16" s="261">
        <v>0.94154217142723351</v>
      </c>
      <c r="N16" s="255">
        <f>SUM(O16:R16)</f>
        <v>8.5138710087272482</v>
      </c>
      <c r="O16" s="261">
        <v>2.401471489874905</v>
      </c>
      <c r="P16" s="261">
        <v>2.3080941946827012</v>
      </c>
      <c r="Q16" s="261">
        <v>2.8627631527424082</v>
      </c>
      <c r="R16" s="261">
        <v>0.94154217142723351</v>
      </c>
      <c r="S16" s="256">
        <f t="shared" si="3"/>
        <v>17.1615</v>
      </c>
      <c r="T16" s="246">
        <f t="shared" si="3"/>
        <v>4.9589999999999996</v>
      </c>
      <c r="U16" s="246">
        <f t="shared" si="3"/>
        <v>4.4622999999999999</v>
      </c>
      <c r="V16" s="246">
        <f t="shared" si="3"/>
        <v>5.7027000000000001</v>
      </c>
      <c r="W16" s="260">
        <f t="shared" si="1"/>
        <v>2.0375999999999999</v>
      </c>
      <c r="X16" s="255">
        <f>X6*X17/100</f>
        <v>8.5822762672434632</v>
      </c>
      <c r="Y16" s="243">
        <f>Y6*Y17/100</f>
        <v>2.4237647996494185</v>
      </c>
      <c r="Z16" s="243">
        <f>Z6*Z17/100</f>
        <v>2.2679879039825228</v>
      </c>
      <c r="AA16" s="243">
        <f>AA6*AA17/100</f>
        <v>2.8717166982686888</v>
      </c>
      <c r="AB16" s="262">
        <f>ROUND((X16-Y16-Z16-AA16),4)</f>
        <v>1.0187999999999999</v>
      </c>
      <c r="AC16" s="256">
        <f>AC6*AC17/100</f>
        <v>8.5792382935203833</v>
      </c>
      <c r="AD16" s="243">
        <f>AD6*AD17/100</f>
        <v>2.5351932672564557</v>
      </c>
      <c r="AE16" s="243">
        <f>AE6*AE17/100</f>
        <v>2.1942989395536872</v>
      </c>
      <c r="AF16" s="243">
        <f>AF6*AF17/100</f>
        <v>2.8309398364544025</v>
      </c>
      <c r="AG16" s="262">
        <f>ROUND((AC16-AD16-AE16-AF16),4)</f>
        <v>1.0187999999999999</v>
      </c>
      <c r="AH16" s="204"/>
      <c r="AI16" s="204"/>
      <c r="AJ16" s="204"/>
      <c r="AK16" s="204"/>
      <c r="AL16" s="204"/>
      <c r="AM16" s="204"/>
      <c r="AN16" s="204"/>
    </row>
    <row r="17" spans="1:40" s="205" customFormat="1" x14ac:dyDescent="0.2">
      <c r="A17" s="208"/>
      <c r="B17" s="258"/>
      <c r="C17" s="240" t="s">
        <v>23</v>
      </c>
      <c r="D17" s="254">
        <f>ROUND(IFERROR(D16/D6*100,0),4)</f>
        <v>2.5375999999999999</v>
      </c>
      <c r="E17" s="243">
        <f>ROUND(IFERROR(E16/E6*100,0),4)</f>
        <v>1.6095999999999999</v>
      </c>
      <c r="F17" s="243">
        <f>ROUND(IFERROR(F16/F6*100,0),4)</f>
        <v>3.1497999999999999</v>
      </c>
      <c r="G17" s="243">
        <f>ROUND(IFERROR(G16/G6*100,0),4)</f>
        <v>2.2780999999999998</v>
      </c>
      <c r="H17" s="244">
        <f>ROUND(IFERROR(H16/H6*100,0),4)</f>
        <v>6.0587999999999997</v>
      </c>
      <c r="I17" s="254">
        <f>I16/I6*100</f>
        <v>2.5376195756523274</v>
      </c>
      <c r="J17" s="243">
        <f>ROUND(IF(J6=0,0,J16/J6*100),4)</f>
        <v>1.6095999999999999</v>
      </c>
      <c r="K17" s="243">
        <f>ROUND(IF(K6=0,0,K16/K6*100),4)</f>
        <v>3.1497999999999999</v>
      </c>
      <c r="L17" s="243">
        <f>ROUND(IF(L6=0,0,L16/L6*100),4)</f>
        <v>2.2780999999999998</v>
      </c>
      <c r="M17" s="244">
        <f>ROUND(IF(M6=0,0,M16/M6*100),4)</f>
        <v>6.0587999999999997</v>
      </c>
      <c r="N17" s="254">
        <f>N16/N6*100</f>
        <v>2.5376195756523274</v>
      </c>
      <c r="O17" s="243">
        <f>ROUND(IF(O6=0,0,O16/O6*100),4)</f>
        <v>1.6095999999999999</v>
      </c>
      <c r="P17" s="243">
        <f>ROUND(IF(P6=0,0,P16/P6*100),4)</f>
        <v>3.1497999999999999</v>
      </c>
      <c r="Q17" s="243">
        <f>ROUND(IF(Q6=0,0,Q16/Q6*100),4)</f>
        <v>2.2780999999999998</v>
      </c>
      <c r="R17" s="244">
        <f>ROUND(IF(R6=0,0,R16/R6*100),4)</f>
        <v>6.0587999999999997</v>
      </c>
      <c r="S17" s="254">
        <f>ROUND(IFERROR(S16/S6*100,0),4)</f>
        <v>2.5291000000000001</v>
      </c>
      <c r="T17" s="243">
        <f>ROUND(IFERROR(T16/T6*100,0),4)</f>
        <v>1.6095999999999999</v>
      </c>
      <c r="U17" s="243">
        <f>ROUND(IFERROR(U16/U6*100,0),4)</f>
        <v>3.1497999999999999</v>
      </c>
      <c r="V17" s="243">
        <f>ROUND(IFERROR(V16/V6*100,0),4)</f>
        <v>2.2780999999999998</v>
      </c>
      <c r="W17" s="244">
        <f>ROUND(IFERROR(W16/W6*100,0),4)</f>
        <v>6.0587999999999997</v>
      </c>
      <c r="X17" s="263">
        <v>2.5279359217937656</v>
      </c>
      <c r="Y17" s="252">
        <v>1.6095999999999999</v>
      </c>
      <c r="Z17" s="252">
        <v>3.1497999999999999</v>
      </c>
      <c r="AA17" s="252">
        <v>2.2780999999999998</v>
      </c>
      <c r="AB17" s="243">
        <f>IF(AB6=0,0,AB16/AB6*100)</f>
        <v>6.0587616457703506</v>
      </c>
      <c r="AC17" s="263">
        <v>2.5302379064047638</v>
      </c>
      <c r="AD17" s="252">
        <v>1.6095999999999999</v>
      </c>
      <c r="AE17" s="252">
        <v>3.1497999999999999</v>
      </c>
      <c r="AF17" s="252">
        <v>2.2780999999999998</v>
      </c>
      <c r="AG17" s="243">
        <f>IF(AG6=0,0,AG16/AG6*100)</f>
        <v>6.0588337090394795</v>
      </c>
      <c r="AH17" s="264"/>
      <c r="AI17" s="204"/>
      <c r="AJ17" s="204"/>
      <c r="AK17" s="204"/>
      <c r="AL17" s="204"/>
      <c r="AM17" s="204"/>
      <c r="AN17" s="204"/>
    </row>
    <row r="18" spans="1:40" s="205" customFormat="1" ht="25.5" x14ac:dyDescent="0.2">
      <c r="A18" s="257"/>
      <c r="B18" s="265" t="s">
        <v>36</v>
      </c>
      <c r="C18" s="266" t="s">
        <v>34</v>
      </c>
      <c r="D18" s="256">
        <f t="shared" ref="D18:H22" si="4">ROUND(I18+N18,4)</f>
        <v>0</v>
      </c>
      <c r="E18" s="246">
        <f t="shared" si="4"/>
        <v>0</v>
      </c>
      <c r="F18" s="246">
        <f t="shared" si="4"/>
        <v>0</v>
      </c>
      <c r="G18" s="246">
        <f t="shared" si="4"/>
        <v>0</v>
      </c>
      <c r="H18" s="260">
        <f t="shared" si="4"/>
        <v>0</v>
      </c>
      <c r="I18" s="255">
        <f>ROUND(SUM(J18:M18),4)</f>
        <v>0</v>
      </c>
      <c r="J18" s="252"/>
      <c r="K18" s="252"/>
      <c r="L18" s="252"/>
      <c r="M18" s="252"/>
      <c r="N18" s="255">
        <f>ROUND(SUM(O18:R18),4)</f>
        <v>0</v>
      </c>
      <c r="O18" s="252"/>
      <c r="P18" s="252"/>
      <c r="Q18" s="252"/>
      <c r="R18" s="252"/>
      <c r="S18" s="256">
        <f t="shared" ref="S18:W22" si="5">ROUND(X18+AC18,4)</f>
        <v>0</v>
      </c>
      <c r="T18" s="246">
        <f t="shared" si="5"/>
        <v>0</v>
      </c>
      <c r="U18" s="246">
        <f t="shared" si="5"/>
        <v>0</v>
      </c>
      <c r="V18" s="246">
        <f t="shared" si="5"/>
        <v>0</v>
      </c>
      <c r="W18" s="260">
        <f t="shared" si="5"/>
        <v>0</v>
      </c>
      <c r="X18" s="255">
        <f>ROUND(SUM(Y18:AB18),4)</f>
        <v>0</v>
      </c>
      <c r="Y18" s="252"/>
      <c r="Z18" s="252"/>
      <c r="AA18" s="252"/>
      <c r="AB18" s="253"/>
      <c r="AC18" s="256">
        <f>ROUND(SUM(AD18:AG18),4)</f>
        <v>0</v>
      </c>
      <c r="AD18" s="252"/>
      <c r="AE18" s="252"/>
      <c r="AF18" s="252"/>
      <c r="AG18" s="252"/>
      <c r="AH18" s="204"/>
      <c r="AI18" s="204"/>
      <c r="AJ18" s="204"/>
      <c r="AK18" s="204"/>
      <c r="AL18" s="204"/>
      <c r="AM18" s="204"/>
      <c r="AN18" s="204"/>
    </row>
    <row r="19" spans="1:40" s="269" customFormat="1" ht="25.5" customHeight="1" x14ac:dyDescent="0.2">
      <c r="A19" s="231"/>
      <c r="B19" s="267" t="s">
        <v>50</v>
      </c>
      <c r="C19" s="259" t="s">
        <v>34</v>
      </c>
      <c r="D19" s="256">
        <f t="shared" si="4"/>
        <v>653.9846</v>
      </c>
      <c r="E19" s="246">
        <f t="shared" si="4"/>
        <v>281.40820000000002</v>
      </c>
      <c r="F19" s="246">
        <f t="shared" si="4"/>
        <v>128.01060000000001</v>
      </c>
      <c r="G19" s="246">
        <f t="shared" si="4"/>
        <v>215.36879999999999</v>
      </c>
      <c r="H19" s="260">
        <f t="shared" si="4"/>
        <v>29.196999999999999</v>
      </c>
      <c r="I19" s="255">
        <f>I6-I16-I18</f>
        <v>326.99232899127276</v>
      </c>
      <c r="J19" s="246">
        <f>ROUND(J20+J21+J22,4)</f>
        <v>140.70410000000001</v>
      </c>
      <c r="K19" s="246">
        <f>ROUND(K20+K21+K22,4)</f>
        <v>64.005300000000005</v>
      </c>
      <c r="L19" s="246">
        <f>ROUND(L20+L21+L22,4)</f>
        <v>107.6844</v>
      </c>
      <c r="M19" s="247">
        <f>ROUND(M20+M21+M22,4)</f>
        <v>14.5985</v>
      </c>
      <c r="N19" s="255">
        <f>ROUND(SUM(O19:R19),4)</f>
        <v>326.9923</v>
      </c>
      <c r="O19" s="246">
        <f>ROUND(O20+O21+O22,4)</f>
        <v>140.70410000000001</v>
      </c>
      <c r="P19" s="246">
        <f>ROUND(P20+P21+P22,4)</f>
        <v>64.005300000000005</v>
      </c>
      <c r="Q19" s="246">
        <f>ROUND(Q20+Q21+Q22,4)</f>
        <v>107.6844</v>
      </c>
      <c r="R19" s="247">
        <f>ROUND(R20+R21+R22,4)</f>
        <v>14.5985</v>
      </c>
      <c r="S19" s="256">
        <f t="shared" si="5"/>
        <v>661.40430000000003</v>
      </c>
      <c r="T19" s="246">
        <f t="shared" si="5"/>
        <v>284.51139999999998</v>
      </c>
      <c r="U19" s="246">
        <f t="shared" si="5"/>
        <v>130.75800000000001</v>
      </c>
      <c r="V19" s="246">
        <f t="shared" si="5"/>
        <v>214.542</v>
      </c>
      <c r="W19" s="260">
        <f t="shared" si="5"/>
        <v>31.5928</v>
      </c>
      <c r="X19" s="255">
        <f>X6-X16-X18</f>
        <v>330.91510549999992</v>
      </c>
      <c r="Y19" s="246">
        <f>Y22+Y21+Y20</f>
        <v>141.59407184992028</v>
      </c>
      <c r="Z19" s="246">
        <f>Z22+Z21+Z20</f>
        <v>65.379037551934573</v>
      </c>
      <c r="AA19" s="246">
        <f>AA22+AA21+AA20</f>
        <v>108.14547871870623</v>
      </c>
      <c r="AB19" s="247">
        <f>AB22+AB21+AB20</f>
        <v>15.7965173794389</v>
      </c>
      <c r="AC19" s="256">
        <f>AC6-AC16-AC18</f>
        <v>330.48920549999997</v>
      </c>
      <c r="AD19" s="246">
        <f>AD22+AD21+AD20</f>
        <v>142.91737134992027</v>
      </c>
      <c r="AE19" s="246">
        <f t="shared" ref="AE19:AF19" si="6">AE22+AE21+AE20</f>
        <v>65.379011051934569</v>
      </c>
      <c r="AF19" s="246">
        <f t="shared" si="6"/>
        <v>106.39650021870622</v>
      </c>
      <c r="AG19" s="246">
        <f>AG22+AG21+AG20</f>
        <v>15.7963173794389</v>
      </c>
      <c r="AH19" s="268"/>
      <c r="AI19" s="268"/>
      <c r="AJ19" s="268"/>
      <c r="AK19" s="268"/>
      <c r="AL19" s="268"/>
      <c r="AM19" s="268"/>
      <c r="AN19" s="268"/>
    </row>
    <row r="20" spans="1:40" s="269" customFormat="1" ht="22.5" customHeight="1" x14ac:dyDescent="0.2">
      <c r="A20" s="200"/>
      <c r="B20" s="270" t="s">
        <v>51</v>
      </c>
      <c r="C20" s="251" t="s">
        <v>34</v>
      </c>
      <c r="D20" s="254">
        <f t="shared" si="4"/>
        <v>0</v>
      </c>
      <c r="E20" s="243">
        <f t="shared" si="4"/>
        <v>0</v>
      </c>
      <c r="F20" s="243">
        <f t="shared" si="4"/>
        <v>0</v>
      </c>
      <c r="G20" s="243">
        <f t="shared" si="4"/>
        <v>0</v>
      </c>
      <c r="H20" s="244">
        <f t="shared" si="4"/>
        <v>0</v>
      </c>
      <c r="I20" s="255">
        <f>SUM(J20:M20)</f>
        <v>0</v>
      </c>
      <c r="J20" s="252"/>
      <c r="K20" s="252"/>
      <c r="L20" s="252"/>
      <c r="M20" s="252"/>
      <c r="N20" s="255">
        <f>SUM(O20:R20)</f>
        <v>0</v>
      </c>
      <c r="O20" s="252"/>
      <c r="P20" s="252"/>
      <c r="Q20" s="252"/>
      <c r="R20" s="252"/>
      <c r="S20" s="254">
        <f t="shared" si="5"/>
        <v>0.83979999999999999</v>
      </c>
      <c r="T20" s="243">
        <f t="shared" si="5"/>
        <v>0</v>
      </c>
      <c r="U20" s="243">
        <f t="shared" si="5"/>
        <v>0</v>
      </c>
      <c r="V20" s="243">
        <f>ROUND(AA20+AF20,4)</f>
        <v>0.04</v>
      </c>
      <c r="W20" s="244">
        <f t="shared" si="5"/>
        <v>0.79979999999999996</v>
      </c>
      <c r="X20" s="255">
        <f>X6-X16-X18-X22-X21</f>
        <v>0.41999999999995907</v>
      </c>
      <c r="Y20" s="252">
        <v>0</v>
      </c>
      <c r="Z20" s="252">
        <v>0</v>
      </c>
      <c r="AA20" s="252">
        <v>0.02</v>
      </c>
      <c r="AB20" s="262">
        <f>ROUND((X20-Y20-Z20-AA20),4)</f>
        <v>0.4</v>
      </c>
      <c r="AC20" s="256">
        <f>AC6-AC16-AC18-AC22-AC21</f>
        <v>0.41980549999999539</v>
      </c>
      <c r="AD20" s="252"/>
      <c r="AE20" s="252"/>
      <c r="AF20" s="252">
        <v>0.02</v>
      </c>
      <c r="AG20" s="262">
        <f>ROUND((AC20-AD20-AE20-AF20),4)</f>
        <v>0.39979999999999999</v>
      </c>
      <c r="AH20" s="268"/>
      <c r="AI20" s="268"/>
      <c r="AJ20" s="268"/>
      <c r="AK20" s="268"/>
      <c r="AL20" s="268"/>
      <c r="AM20" s="268"/>
      <c r="AN20" s="268"/>
    </row>
    <row r="21" spans="1:40" s="205" customFormat="1" ht="18" customHeight="1" thickBot="1" x14ac:dyDescent="0.25">
      <c r="A21" s="200"/>
      <c r="B21" s="271" t="s">
        <v>52</v>
      </c>
      <c r="C21" s="272" t="s">
        <v>34</v>
      </c>
      <c r="D21" s="273">
        <f t="shared" si="4"/>
        <v>364.76799999999997</v>
      </c>
      <c r="E21" s="274">
        <f t="shared" si="4"/>
        <v>230.12710000000001</v>
      </c>
      <c r="F21" s="274">
        <f t="shared" si="4"/>
        <v>98.517700000000005</v>
      </c>
      <c r="G21" s="274">
        <f t="shared" si="4"/>
        <v>35.277700000000003</v>
      </c>
      <c r="H21" s="275">
        <f t="shared" si="4"/>
        <v>0.84550000000000003</v>
      </c>
      <c r="I21" s="276">
        <f>ROUND(SUM(J21:M21),4)</f>
        <v>182.38399999999999</v>
      </c>
      <c r="J21" s="252">
        <v>115.0635455</v>
      </c>
      <c r="K21" s="252">
        <v>49.258826499999998</v>
      </c>
      <c r="L21" s="252">
        <v>17.638838499999999</v>
      </c>
      <c r="M21" s="252">
        <v>0.42276799999999781</v>
      </c>
      <c r="N21" s="276">
        <f>ROUND(SUM(O21:R21),4)</f>
        <v>182.38399999999999</v>
      </c>
      <c r="O21" s="252">
        <v>115.0635455</v>
      </c>
      <c r="P21" s="252">
        <v>49.258826499999998</v>
      </c>
      <c r="Q21" s="252">
        <v>17.638838499999999</v>
      </c>
      <c r="R21" s="252">
        <v>0.42276799999999781</v>
      </c>
      <c r="S21" s="273">
        <f t="shared" si="5"/>
        <v>365.56450000000001</v>
      </c>
      <c r="T21" s="274">
        <f t="shared" si="5"/>
        <v>229.6969</v>
      </c>
      <c r="U21" s="274">
        <f t="shared" si="5"/>
        <v>98.517600000000002</v>
      </c>
      <c r="V21" s="274">
        <f t="shared" si="5"/>
        <v>37.35</v>
      </c>
      <c r="W21" s="275">
        <f t="shared" si="5"/>
        <v>0</v>
      </c>
      <c r="X21" s="255">
        <f>SUM(Y21:AB21)</f>
        <v>182.99510549999999</v>
      </c>
      <c r="Y21" s="252">
        <f>91.8693005+22.3175</f>
        <v>114.18680049999999</v>
      </c>
      <c r="Z21" s="252">
        <v>49.258826499999998</v>
      </c>
      <c r="AA21" s="252">
        <f>7.0792785+12.4702</f>
        <v>19.549478499999999</v>
      </c>
      <c r="AB21" s="253"/>
      <c r="AC21" s="277">
        <f>SUM(AD21:AG21)</f>
        <v>182.5694</v>
      </c>
      <c r="AD21" s="252">
        <v>115.51009999999999</v>
      </c>
      <c r="AE21" s="252">
        <v>49.258800000000001</v>
      </c>
      <c r="AF21" s="252">
        <v>17.8005</v>
      </c>
      <c r="AG21" s="252">
        <v>0</v>
      </c>
      <c r="AH21" s="204"/>
      <c r="AI21" s="204"/>
      <c r="AJ21" s="204"/>
      <c r="AK21" s="204"/>
      <c r="AL21" s="204"/>
      <c r="AM21" s="204"/>
      <c r="AN21" s="204"/>
    </row>
    <row r="22" spans="1:40" s="205" customFormat="1" ht="18" customHeight="1" thickBot="1" x14ac:dyDescent="0.25">
      <c r="A22" s="231"/>
      <c r="B22" s="278" t="s">
        <v>53</v>
      </c>
      <c r="C22" s="279" t="s">
        <v>34</v>
      </c>
      <c r="D22" s="280">
        <f t="shared" si="4"/>
        <v>289.21660000000003</v>
      </c>
      <c r="E22" s="281">
        <f t="shared" si="4"/>
        <v>51.281100000000002</v>
      </c>
      <c r="F22" s="281">
        <f t="shared" si="4"/>
        <v>29.492899999999999</v>
      </c>
      <c r="G22" s="281">
        <f t="shared" si="4"/>
        <v>180.09119999999999</v>
      </c>
      <c r="H22" s="282">
        <f t="shared" si="4"/>
        <v>28.351500000000001</v>
      </c>
      <c r="I22" s="283">
        <f>ROUND(SUM(J22:M22),4)</f>
        <v>144.60830000000001</v>
      </c>
      <c r="J22" s="252">
        <v>25.640550999999995</v>
      </c>
      <c r="K22" s="252">
        <v>14.746430999999999</v>
      </c>
      <c r="L22" s="252">
        <v>90.045597399999991</v>
      </c>
      <c r="M22" s="252">
        <v>14.175766600000008</v>
      </c>
      <c r="N22" s="283">
        <f>ROUND(SUM(O22:R22),4)</f>
        <v>144.60830000000001</v>
      </c>
      <c r="O22" s="252">
        <v>25.640550999999995</v>
      </c>
      <c r="P22" s="252">
        <v>14.746430999999999</v>
      </c>
      <c r="Q22" s="252">
        <v>90.045597399999991</v>
      </c>
      <c r="R22" s="252">
        <v>14.175766600000008</v>
      </c>
      <c r="S22" s="280">
        <f t="shared" si="5"/>
        <v>295</v>
      </c>
      <c r="T22" s="281">
        <f t="shared" si="5"/>
        <v>54.814500000000002</v>
      </c>
      <c r="U22" s="281">
        <f t="shared" si="5"/>
        <v>32.240400000000001</v>
      </c>
      <c r="V22" s="281">
        <f t="shared" si="5"/>
        <v>177.15199999999999</v>
      </c>
      <c r="W22" s="282">
        <f t="shared" si="5"/>
        <v>30.792999999999999</v>
      </c>
      <c r="X22" s="284">
        <f>SUM(Y22:AB22)</f>
        <v>147.49999999999997</v>
      </c>
      <c r="Y22" s="285">
        <v>27.40727134992029</v>
      </c>
      <c r="Z22" s="285">
        <v>16.120211051934568</v>
      </c>
      <c r="AA22" s="285">
        <v>88.576000218706227</v>
      </c>
      <c r="AB22" s="286">
        <v>15.396517379438899</v>
      </c>
      <c r="AC22" s="280">
        <f>SUM(AD22:AG22)</f>
        <v>147.49999999999997</v>
      </c>
      <c r="AD22" s="252">
        <v>27.40727134992029</v>
      </c>
      <c r="AE22" s="252">
        <v>16.120211051934568</v>
      </c>
      <c r="AF22" s="252">
        <v>88.576000218706227</v>
      </c>
      <c r="AG22" s="252">
        <v>15.396517379438899</v>
      </c>
      <c r="AH22" s="204"/>
      <c r="AI22" s="204"/>
      <c r="AJ22" s="204"/>
      <c r="AK22" s="204"/>
      <c r="AL22" s="204"/>
      <c r="AM22" s="204"/>
      <c r="AN22" s="204"/>
    </row>
    <row r="23" spans="1:40" s="205" customFormat="1" ht="18" customHeight="1" thickBot="1" x14ac:dyDescent="0.25">
      <c r="A23" s="287"/>
      <c r="B23" s="288" t="s">
        <v>29</v>
      </c>
      <c r="C23" s="289"/>
      <c r="D23" s="290" t="s">
        <v>16</v>
      </c>
      <c r="E23" s="291">
        <f>ROUND(E6-E16-E18-E20-E21-E22-F9-G9-H9,4)</f>
        <v>1E-4</v>
      </c>
      <c r="F23" s="291">
        <f>ROUND(F6-F16-F18-F20-F21-F22-G10-H10,4)</f>
        <v>0</v>
      </c>
      <c r="G23" s="291">
        <f>ROUND(G6-G16-G18-G20-G21-G22-H11,4)</f>
        <v>0</v>
      </c>
      <c r="H23" s="292">
        <f>ROUND(H6-H16-H18-H20-H21-H22,4)</f>
        <v>1E-4</v>
      </c>
      <c r="I23" s="293" t="s">
        <v>16</v>
      </c>
      <c r="J23" s="294">
        <f>ROUND(J6-J16-J18-J20-J21-J22-K9-L9-M9,4)</f>
        <v>0</v>
      </c>
      <c r="K23" s="294">
        <f>ROUND(K6-K16-K18-K20-K21-K22-L10-M10,4)</f>
        <v>0</v>
      </c>
      <c r="L23" s="294">
        <f>ROUND(L6-L16-L18-L20-L21-L22-M11,4)</f>
        <v>0</v>
      </c>
      <c r="M23" s="295">
        <f>ROUND(M6-M16-M18-M20-M21-M22,4)</f>
        <v>0</v>
      </c>
      <c r="N23" s="293" t="s">
        <v>16</v>
      </c>
      <c r="O23" s="294">
        <f>ROUND(O6-O16-O18-O20-O21-O22-P9-Q9-R9,4)</f>
        <v>0</v>
      </c>
      <c r="P23" s="294">
        <f>ROUND(P6-P16-P18-P20-P21-P22-Q10-R10,4)</f>
        <v>0</v>
      </c>
      <c r="Q23" s="294">
        <f>ROUND(Q6-Q16-Q18-Q20-Q21-Q22-R11,4)</f>
        <v>0</v>
      </c>
      <c r="R23" s="295">
        <f>ROUND(R6-R16-R18-R20-R21-R22,4)</f>
        <v>0</v>
      </c>
      <c r="S23" s="290" t="s">
        <v>16</v>
      </c>
      <c r="T23" s="291">
        <f>ROUND(T6-T16-T18-T20-T21-T22-U9-V9-W9,4)</f>
        <v>0</v>
      </c>
      <c r="U23" s="291">
        <f>ROUND(U6-U16-U18-U20-U21-U22-V10-W10,4)</f>
        <v>0</v>
      </c>
      <c r="V23" s="291">
        <f>ROUND(V6-V16-V18-V20-V21-V22-W11,4)</f>
        <v>-1E-4</v>
      </c>
      <c r="W23" s="292">
        <f>ROUND(W6-W16-W18-W20-W21-W22,4)</f>
        <v>0</v>
      </c>
      <c r="X23" s="293" t="s">
        <v>54</v>
      </c>
      <c r="Y23" s="294">
        <f>ROUND(Y6-Y16-Y18-Y20-Y21-Y22-Z9-AA9-AB9,4)</f>
        <v>0</v>
      </c>
      <c r="Z23" s="294">
        <f>ROUND(Z6-Z16-Z18-Z20-Z21-Z22-AA10-AB10,4)</f>
        <v>0</v>
      </c>
      <c r="AA23" s="294">
        <f>ROUND(AA6-AA16-AA18-AA20-AA21-AA22-AB11,4)</f>
        <v>0</v>
      </c>
      <c r="AB23" s="295">
        <f>ROUND(AB6-AB16-AB18-AB20-AB21-AB22,4)</f>
        <v>0</v>
      </c>
      <c r="AC23" s="293" t="s">
        <v>54</v>
      </c>
      <c r="AD23" s="294">
        <f>ROUND(AD6-AD16-AD18-AD20-AD21-AD22-AE9-AF9-AG9,4)</f>
        <v>0</v>
      </c>
      <c r="AE23" s="294">
        <f>ROUND(AE6-AE16-AE18-AE20-AE21-AE22-AF10-AG10,4)</f>
        <v>0</v>
      </c>
      <c r="AF23" s="294">
        <f>ROUND(AF6-AF16-AF18-AF20-AF21-AF22-AG11,4)</f>
        <v>0</v>
      </c>
      <c r="AG23" s="295">
        <f>ROUND(AG6-AG16-AG18-AG20-AG21-AG22,4)</f>
        <v>0</v>
      </c>
      <c r="AH23" s="204"/>
      <c r="AI23" s="204"/>
      <c r="AJ23" s="204"/>
      <c r="AK23" s="204"/>
      <c r="AL23" s="204"/>
      <c r="AM23" s="204"/>
      <c r="AN23" s="204"/>
    </row>
    <row r="24" spans="1:40" s="205" customFormat="1" ht="18" customHeight="1" x14ac:dyDescent="0.2">
      <c r="A24" s="287"/>
      <c r="B24" s="71"/>
      <c r="C24" s="72"/>
      <c r="D24" s="73"/>
      <c r="E24" s="74"/>
      <c r="F24" s="74"/>
      <c r="G24" s="74"/>
      <c r="H24" s="74"/>
      <c r="I24" s="73"/>
      <c r="J24" s="75"/>
      <c r="K24" s="75"/>
      <c r="L24" s="75"/>
      <c r="M24" s="75"/>
      <c r="N24" s="73"/>
      <c r="O24" s="75"/>
      <c r="P24" s="75"/>
      <c r="Q24" s="75"/>
      <c r="R24" s="75"/>
      <c r="S24" s="73"/>
      <c r="T24" s="74"/>
      <c r="U24" s="74"/>
      <c r="V24" s="74"/>
      <c r="W24" s="296"/>
      <c r="X24" s="73"/>
      <c r="Y24" s="75"/>
      <c r="Z24" s="75"/>
      <c r="AA24" s="75"/>
      <c r="AB24" s="75"/>
      <c r="AC24" s="73"/>
      <c r="AD24" s="75"/>
      <c r="AE24" s="75"/>
      <c r="AF24" s="75"/>
      <c r="AG24" s="75"/>
      <c r="AH24" s="204"/>
      <c r="AI24" s="204"/>
      <c r="AJ24" s="204"/>
      <c r="AK24" s="204"/>
      <c r="AL24" s="204"/>
      <c r="AM24" s="204"/>
      <c r="AN24" s="204"/>
    </row>
    <row r="25" spans="1:40" s="205" customFormat="1" ht="18" customHeight="1" x14ac:dyDescent="0.2">
      <c r="A25" s="287"/>
      <c r="B25" s="201" t="s">
        <v>55</v>
      </c>
      <c r="C25" s="72"/>
      <c r="D25" s="73"/>
      <c r="E25" s="74"/>
      <c r="F25" s="74"/>
      <c r="G25" s="74"/>
      <c r="H25" s="74"/>
      <c r="I25" s="73"/>
      <c r="J25" s="75"/>
      <c r="K25" s="75"/>
      <c r="L25" s="75"/>
      <c r="M25" s="75"/>
      <c r="N25" s="73"/>
      <c r="O25" s="75"/>
      <c r="P25" s="75"/>
      <c r="Q25" s="75"/>
      <c r="R25" s="75"/>
      <c r="S25" s="73"/>
      <c r="T25" s="74"/>
      <c r="U25" s="74"/>
      <c r="V25" s="74"/>
      <c r="W25" s="74"/>
      <c r="X25" s="73"/>
      <c r="Y25" s="75"/>
      <c r="Z25" s="75"/>
      <c r="AA25" s="75"/>
      <c r="AB25" s="75"/>
      <c r="AC25" s="73"/>
      <c r="AD25" s="75"/>
      <c r="AE25" s="75"/>
      <c r="AF25" s="75"/>
      <c r="AG25" s="75"/>
      <c r="AH25" s="204"/>
      <c r="AI25" s="204"/>
      <c r="AJ25" s="204"/>
      <c r="AK25" s="204"/>
      <c r="AL25" s="204"/>
      <c r="AM25" s="204"/>
      <c r="AN25" s="204"/>
    </row>
    <row r="26" spans="1:40" s="205" customFormat="1" ht="18" customHeight="1" thickBot="1" x14ac:dyDescent="0.25">
      <c r="A26" s="200"/>
      <c r="B26" s="200"/>
      <c r="C26" s="297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04"/>
      <c r="AI26" s="204"/>
      <c r="AJ26" s="204"/>
      <c r="AK26" s="204"/>
      <c r="AL26" s="204"/>
      <c r="AM26" s="204"/>
      <c r="AN26" s="204"/>
    </row>
    <row r="27" spans="1:40" s="205" customFormat="1" ht="18" customHeight="1" x14ac:dyDescent="0.2">
      <c r="A27" s="200"/>
      <c r="B27" s="299" t="s">
        <v>1</v>
      </c>
      <c r="C27" s="299" t="s">
        <v>31</v>
      </c>
      <c r="D27" s="211" t="s">
        <v>3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3"/>
      <c r="S27" s="214" t="s">
        <v>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6"/>
      <c r="AH27" s="204"/>
      <c r="AI27" s="204"/>
      <c r="AJ27" s="204"/>
      <c r="AK27" s="204"/>
      <c r="AL27" s="204"/>
      <c r="AM27" s="204"/>
      <c r="AN27" s="204"/>
    </row>
    <row r="28" spans="1:40" s="205" customFormat="1" ht="18" customHeight="1" x14ac:dyDescent="0.2">
      <c r="A28" s="200"/>
      <c r="B28" s="300"/>
      <c r="C28" s="300"/>
      <c r="D28" s="301" t="s">
        <v>5</v>
      </c>
      <c r="E28" s="302"/>
      <c r="F28" s="302"/>
      <c r="G28" s="302"/>
      <c r="H28" s="302"/>
      <c r="I28" s="302" t="s">
        <v>6</v>
      </c>
      <c r="J28" s="302"/>
      <c r="K28" s="302"/>
      <c r="L28" s="302"/>
      <c r="M28" s="302"/>
      <c r="N28" s="302" t="s">
        <v>7</v>
      </c>
      <c r="O28" s="302"/>
      <c r="P28" s="302"/>
      <c r="Q28" s="302"/>
      <c r="R28" s="222"/>
      <c r="S28" s="301" t="s">
        <v>5</v>
      </c>
      <c r="T28" s="302"/>
      <c r="U28" s="302"/>
      <c r="V28" s="302"/>
      <c r="W28" s="302"/>
      <c r="X28" s="302" t="s">
        <v>6</v>
      </c>
      <c r="Y28" s="302"/>
      <c r="Z28" s="302"/>
      <c r="AA28" s="302"/>
      <c r="AB28" s="302"/>
      <c r="AC28" s="302" t="s">
        <v>7</v>
      </c>
      <c r="AD28" s="302"/>
      <c r="AE28" s="302"/>
      <c r="AF28" s="302"/>
      <c r="AG28" s="303"/>
      <c r="AH28" s="204"/>
      <c r="AI28" s="204"/>
      <c r="AJ28" s="204"/>
      <c r="AK28" s="204"/>
      <c r="AL28" s="204"/>
      <c r="AM28" s="204"/>
      <c r="AN28" s="204"/>
    </row>
    <row r="29" spans="1:40" s="205" customFormat="1" ht="18" customHeight="1" thickBot="1" x14ac:dyDescent="0.25">
      <c r="A29" s="200"/>
      <c r="B29" s="304"/>
      <c r="C29" s="304"/>
      <c r="D29" s="226" t="s">
        <v>8</v>
      </c>
      <c r="E29" s="227" t="s">
        <v>9</v>
      </c>
      <c r="F29" s="227" t="s">
        <v>10</v>
      </c>
      <c r="G29" s="227" t="s">
        <v>11</v>
      </c>
      <c r="H29" s="227" t="s">
        <v>12</v>
      </c>
      <c r="I29" s="227" t="s">
        <v>8</v>
      </c>
      <c r="J29" s="227" t="s">
        <v>9</v>
      </c>
      <c r="K29" s="227" t="s">
        <v>10</v>
      </c>
      <c r="L29" s="227" t="s">
        <v>11</v>
      </c>
      <c r="M29" s="227" t="s">
        <v>12</v>
      </c>
      <c r="N29" s="227" t="s">
        <v>8</v>
      </c>
      <c r="O29" s="227" t="s">
        <v>9</v>
      </c>
      <c r="P29" s="227" t="s">
        <v>10</v>
      </c>
      <c r="Q29" s="227" t="s">
        <v>11</v>
      </c>
      <c r="R29" s="228" t="s">
        <v>12</v>
      </c>
      <c r="S29" s="226" t="s">
        <v>8</v>
      </c>
      <c r="T29" s="227" t="s">
        <v>9</v>
      </c>
      <c r="U29" s="227" t="s">
        <v>10</v>
      </c>
      <c r="V29" s="227" t="s">
        <v>11</v>
      </c>
      <c r="W29" s="227" t="s">
        <v>12</v>
      </c>
      <c r="X29" s="227" t="s">
        <v>8</v>
      </c>
      <c r="Y29" s="227" t="s">
        <v>9</v>
      </c>
      <c r="Z29" s="227" t="s">
        <v>10</v>
      </c>
      <c r="AA29" s="227" t="s">
        <v>11</v>
      </c>
      <c r="AB29" s="227" t="s">
        <v>12</v>
      </c>
      <c r="AC29" s="227" t="s">
        <v>8</v>
      </c>
      <c r="AD29" s="227" t="s">
        <v>9</v>
      </c>
      <c r="AE29" s="227" t="s">
        <v>10</v>
      </c>
      <c r="AF29" s="227" t="s">
        <v>11</v>
      </c>
      <c r="AG29" s="230" t="s">
        <v>12</v>
      </c>
      <c r="AH29" s="204"/>
      <c r="AI29" s="204"/>
      <c r="AJ29" s="204"/>
      <c r="AK29" s="204"/>
      <c r="AL29" s="204"/>
      <c r="AM29" s="204"/>
      <c r="AN29" s="204"/>
    </row>
    <row r="30" spans="1:40" s="205" customFormat="1" ht="12" customHeight="1" x14ac:dyDescent="0.2">
      <c r="A30" s="200"/>
      <c r="B30" s="305" t="s">
        <v>33</v>
      </c>
      <c r="C30" s="306" t="s">
        <v>34</v>
      </c>
      <c r="D30" s="307">
        <f>I30+N30</f>
        <v>372.73006584959677</v>
      </c>
      <c r="E30" s="308">
        <f>J30+O30</f>
        <v>235.71442076713686</v>
      </c>
      <c r="F30" s="308">
        <f>K30+P30</f>
        <v>103.83861700265471</v>
      </c>
      <c r="G30" s="308">
        <f>L30+Q30</f>
        <v>36.996065557355294</v>
      </c>
      <c r="H30" s="309">
        <f>M30+R30</f>
        <v>0.90006940511723887</v>
      </c>
      <c r="I30" s="307">
        <f>I43+I42+I40</f>
        <v>186.36503292479838</v>
      </c>
      <c r="J30" s="308">
        <f>(K33+L33+J42+J43)/(1-J41/100)</f>
        <v>117.85721038356843</v>
      </c>
      <c r="K30" s="308">
        <f>(L34+K42+K43)/(1-K41/100)</f>
        <v>51.919308501327357</v>
      </c>
      <c r="L30" s="308">
        <f>(M35+L42+L43)/(1-L41/100)</f>
        <v>18.498032778677647</v>
      </c>
      <c r="M30" s="309">
        <f>(M42+M43)/(1-M41/100)</f>
        <v>0.45003470255861944</v>
      </c>
      <c r="N30" s="307">
        <f>N43+N42+N40</f>
        <v>186.36503292479838</v>
      </c>
      <c r="O30" s="308">
        <f>(P33+Q33+O42+O43)/(1-O41/100)</f>
        <v>117.85721038356843</v>
      </c>
      <c r="P30" s="308">
        <f>(Q34+P42+P43)/(1-P41/100)</f>
        <v>51.919308501327357</v>
      </c>
      <c r="Q30" s="308">
        <f>(R35+Q42+Q43)/(1-Q41/100)</f>
        <v>18.498032778677647</v>
      </c>
      <c r="R30" s="309">
        <f>(R42+R43)/(1-R41/100)</f>
        <v>0.45003470255861944</v>
      </c>
      <c r="S30" s="307">
        <f>X30+AC30</f>
        <v>374.38707926682724</v>
      </c>
      <c r="T30" s="308">
        <f>Y30+AD30</f>
        <v>236.37095878954588</v>
      </c>
      <c r="U30" s="308">
        <f>Z30+AE30</f>
        <v>102.77391814799398</v>
      </c>
      <c r="V30" s="308">
        <f>AA30+AF30</f>
        <v>39.040881874948681</v>
      </c>
      <c r="W30" s="309">
        <f>AB30+AG30</f>
        <v>0.85138361033200849</v>
      </c>
      <c r="X30" s="307">
        <f>X43+X42+X40</f>
        <v>187.41636077457343</v>
      </c>
      <c r="Y30" s="308">
        <f>(Z33+AA33+Y42+Y43)/(1-Y41/100)</f>
        <v>117.1352657071877</v>
      </c>
      <c r="Z30" s="308">
        <f>(AA34+Z42+Z43)/(1-Z41/100)</f>
        <v>51.589447019682417</v>
      </c>
      <c r="AA30" s="308">
        <f>(AB35+AA42+AA43)/(1-AA41/100)</f>
        <v>20.41541390067151</v>
      </c>
      <c r="AB30" s="309">
        <f>(AB42+AB43)/(1-AB41/100)</f>
        <v>0.42579809145340081</v>
      </c>
      <c r="AC30" s="308">
        <f>AC43+AC42+AC40</f>
        <v>186.97071849225381</v>
      </c>
      <c r="AD30" s="308">
        <f>(AE33+AF33+AD42+AD43)/(1-AD41/100)</f>
        <v>119.23569308235818</v>
      </c>
      <c r="AE30" s="308">
        <f>(AF34+AE42+AE43)/(1-AE41/100)</f>
        <v>51.184471128311571</v>
      </c>
      <c r="AF30" s="308">
        <f>(AG35+AF42+AF43)/(1-AF41/100)</f>
        <v>18.625467974277171</v>
      </c>
      <c r="AG30" s="309">
        <f>(AG42+AG43)/(1-AG41/100)</f>
        <v>0.42558551887860763</v>
      </c>
      <c r="AH30" s="264"/>
      <c r="AI30" s="204"/>
      <c r="AJ30" s="204"/>
      <c r="AK30" s="204"/>
      <c r="AL30" s="204"/>
      <c r="AM30" s="204"/>
      <c r="AN30" s="204"/>
    </row>
    <row r="31" spans="1:40" s="205" customFormat="1" ht="12" customHeight="1" x14ac:dyDescent="0.2">
      <c r="A31" s="200"/>
      <c r="B31" s="310" t="s">
        <v>15</v>
      </c>
      <c r="C31" s="240" t="s">
        <v>34</v>
      </c>
      <c r="D31" s="311" t="s">
        <v>16</v>
      </c>
      <c r="E31" s="312" t="s">
        <v>16</v>
      </c>
      <c r="F31" s="313">
        <f>K31+P31</f>
        <v>0</v>
      </c>
      <c r="G31" s="313">
        <f>L31+Q31</f>
        <v>3.8435256947741054</v>
      </c>
      <c r="H31" s="314">
        <f>M31+R31</f>
        <v>0.87558118789318184</v>
      </c>
      <c r="I31" s="311" t="s">
        <v>16</v>
      </c>
      <c r="J31" s="312" t="s">
        <v>16</v>
      </c>
      <c r="K31" s="313">
        <f>K33</f>
        <v>0</v>
      </c>
      <c r="L31" s="313">
        <f>L33+L34</f>
        <v>1.9217628473870527</v>
      </c>
      <c r="M31" s="314">
        <f>M35</f>
        <v>0.43779059394659092</v>
      </c>
      <c r="N31" s="311" t="s">
        <v>16</v>
      </c>
      <c r="O31" s="312" t="s">
        <v>16</v>
      </c>
      <c r="P31" s="313">
        <f>P33</f>
        <v>0</v>
      </c>
      <c r="Q31" s="313">
        <f>Q33+Q34</f>
        <v>1.9217628473870527</v>
      </c>
      <c r="R31" s="314">
        <f>R35</f>
        <v>0.43779059394659092</v>
      </c>
      <c r="S31" s="311" t="s">
        <v>16</v>
      </c>
      <c r="T31" s="312" t="s">
        <v>16</v>
      </c>
      <c r="U31" s="313">
        <f>Z31+AE31</f>
        <v>0</v>
      </c>
      <c r="V31" s="313">
        <f>AA31+AF31</f>
        <v>3.8885501110378375</v>
      </c>
      <c r="W31" s="314">
        <f>AB31+AG31</f>
        <v>0.76151304495547367</v>
      </c>
      <c r="X31" s="311" t="s">
        <v>16</v>
      </c>
      <c r="Y31" s="312" t="s">
        <v>16</v>
      </c>
      <c r="Z31" s="313">
        <f>Z33</f>
        <v>0</v>
      </c>
      <c r="AA31" s="313">
        <f>AA33+AA34</f>
        <v>1.7687120878212776</v>
      </c>
      <c r="AB31" s="314">
        <f>AB35</f>
        <v>0.38085185660031179</v>
      </c>
      <c r="AC31" s="311" t="s">
        <v>16</v>
      </c>
      <c r="AD31" s="312" t="s">
        <v>16</v>
      </c>
      <c r="AE31" s="313">
        <f>AE33</f>
        <v>0</v>
      </c>
      <c r="AF31" s="313">
        <f>AF33+AF34</f>
        <v>2.1198380232165599</v>
      </c>
      <c r="AG31" s="314">
        <f>AG35</f>
        <v>0.38066118835516183</v>
      </c>
      <c r="AH31" s="204"/>
      <c r="AI31" s="204"/>
      <c r="AJ31" s="204"/>
      <c r="AK31" s="204"/>
      <c r="AL31" s="204"/>
      <c r="AM31" s="204"/>
      <c r="AN31" s="204"/>
    </row>
    <row r="32" spans="1:40" s="205" customFormat="1" ht="12" customHeight="1" x14ac:dyDescent="0.2">
      <c r="A32" s="200"/>
      <c r="B32" s="310" t="s">
        <v>17</v>
      </c>
      <c r="C32" s="240" t="s">
        <v>34</v>
      </c>
      <c r="D32" s="311" t="s">
        <v>16</v>
      </c>
      <c r="E32" s="312" t="s">
        <v>16</v>
      </c>
      <c r="F32" s="312" t="s">
        <v>16</v>
      </c>
      <c r="G32" s="312" t="s">
        <v>16</v>
      </c>
      <c r="H32" s="315" t="s">
        <v>16</v>
      </c>
      <c r="I32" s="311" t="s">
        <v>16</v>
      </c>
      <c r="J32" s="312" t="s">
        <v>16</v>
      </c>
      <c r="K32" s="312" t="s">
        <v>16</v>
      </c>
      <c r="L32" s="312" t="s">
        <v>16</v>
      </c>
      <c r="M32" s="315" t="s">
        <v>16</v>
      </c>
      <c r="N32" s="311" t="s">
        <v>16</v>
      </c>
      <c r="O32" s="312" t="s">
        <v>16</v>
      </c>
      <c r="P32" s="312" t="s">
        <v>16</v>
      </c>
      <c r="Q32" s="312" t="s">
        <v>16</v>
      </c>
      <c r="R32" s="315" t="s">
        <v>16</v>
      </c>
      <c r="S32" s="311" t="s">
        <v>16</v>
      </c>
      <c r="T32" s="312" t="s">
        <v>16</v>
      </c>
      <c r="U32" s="312" t="s">
        <v>16</v>
      </c>
      <c r="V32" s="312" t="s">
        <v>16</v>
      </c>
      <c r="W32" s="315" t="s">
        <v>16</v>
      </c>
      <c r="X32" s="311" t="s">
        <v>16</v>
      </c>
      <c r="Y32" s="312" t="s">
        <v>16</v>
      </c>
      <c r="Z32" s="312" t="s">
        <v>16</v>
      </c>
      <c r="AA32" s="312" t="s">
        <v>16</v>
      </c>
      <c r="AB32" s="315" t="s">
        <v>16</v>
      </c>
      <c r="AC32" s="311" t="s">
        <v>16</v>
      </c>
      <c r="AD32" s="312" t="s">
        <v>16</v>
      </c>
      <c r="AE32" s="312" t="s">
        <v>16</v>
      </c>
      <c r="AF32" s="312" t="s">
        <v>16</v>
      </c>
      <c r="AG32" s="315" t="s">
        <v>16</v>
      </c>
      <c r="AH32" s="204"/>
      <c r="AI32" s="204"/>
      <c r="AJ32" s="204"/>
      <c r="AK32" s="204"/>
      <c r="AL32" s="204"/>
      <c r="AM32" s="204"/>
      <c r="AN32" s="204"/>
    </row>
    <row r="33" spans="1:40" s="205" customFormat="1" ht="12" customHeight="1" x14ac:dyDescent="0.2">
      <c r="A33" s="200"/>
      <c r="B33" s="316" t="s">
        <v>9</v>
      </c>
      <c r="C33" s="251" t="s">
        <v>34</v>
      </c>
      <c r="D33" s="95" t="s">
        <v>16</v>
      </c>
      <c r="E33" s="96" t="s">
        <v>16</v>
      </c>
      <c r="F33" s="313">
        <f>K33+P33</f>
        <v>0</v>
      </c>
      <c r="G33" s="313">
        <f>L33+Q33</f>
        <v>1.7932704504690071</v>
      </c>
      <c r="H33" s="317" t="s">
        <v>16</v>
      </c>
      <c r="I33" s="95" t="s">
        <v>16</v>
      </c>
      <c r="J33" s="96" t="s">
        <v>16</v>
      </c>
      <c r="K33" s="313">
        <f>IF(K6=0,0,K9/K6*K30)</f>
        <v>0</v>
      </c>
      <c r="L33" s="313">
        <f>IF(L6=0,0,L9/L6*L30)</f>
        <v>0.89663522523450356</v>
      </c>
      <c r="M33" s="315" t="s">
        <v>16</v>
      </c>
      <c r="N33" s="95" t="s">
        <v>16</v>
      </c>
      <c r="O33" s="96" t="s">
        <v>16</v>
      </c>
      <c r="P33" s="313">
        <f>IF(P6=0,0,P9/P6*P30)</f>
        <v>0</v>
      </c>
      <c r="Q33" s="313">
        <f>IF(Q6=0,0,Q9/Q6*Q30)</f>
        <v>0.89663522523450356</v>
      </c>
      <c r="R33" s="315" t="s">
        <v>16</v>
      </c>
      <c r="S33" s="95" t="s">
        <v>16</v>
      </c>
      <c r="T33" s="96" t="s">
        <v>16</v>
      </c>
      <c r="U33" s="313">
        <f>Z33+AE33</f>
        <v>0</v>
      </c>
      <c r="V33" s="313">
        <f>AA33+AF33</f>
        <v>2.8694313368693627</v>
      </c>
      <c r="W33" s="317" t="s">
        <v>16</v>
      </c>
      <c r="X33" s="95" t="s">
        <v>16</v>
      </c>
      <c r="Y33" s="96" t="s">
        <v>16</v>
      </c>
      <c r="Z33" s="313">
        <f>IF(Z6=0,0,Z9/Z6*Z30)</f>
        <v>0</v>
      </c>
      <c r="AA33" s="313">
        <f>IF(AA6=0,0,AA9/AA6*AA30)</f>
        <v>1.0630559703648157</v>
      </c>
      <c r="AB33" s="315" t="s">
        <v>16</v>
      </c>
      <c r="AC33" s="95" t="s">
        <v>16</v>
      </c>
      <c r="AD33" s="96" t="s">
        <v>16</v>
      </c>
      <c r="AE33" s="313">
        <f>IF(AE6=0,0,AE9/AE6*AE30)</f>
        <v>0</v>
      </c>
      <c r="AF33" s="313">
        <f>IF(AF6=0,0,AF9/AF6*AF30)</f>
        <v>1.806375366504547</v>
      </c>
      <c r="AG33" s="315" t="s">
        <v>16</v>
      </c>
      <c r="AH33" s="204"/>
      <c r="AI33" s="204"/>
      <c r="AJ33" s="204"/>
      <c r="AK33" s="204"/>
      <c r="AL33" s="204"/>
      <c r="AM33" s="204"/>
      <c r="AN33" s="204"/>
    </row>
    <row r="34" spans="1:40" s="205" customFormat="1" ht="12" customHeight="1" x14ac:dyDescent="0.2">
      <c r="A34" s="200"/>
      <c r="B34" s="316" t="s">
        <v>10</v>
      </c>
      <c r="C34" s="251" t="s">
        <v>34</v>
      </c>
      <c r="D34" s="95" t="s">
        <v>16</v>
      </c>
      <c r="E34" s="96" t="s">
        <v>16</v>
      </c>
      <c r="F34" s="312" t="s">
        <v>16</v>
      </c>
      <c r="G34" s="313">
        <f>L34+Q34</f>
        <v>2.0502552443050983</v>
      </c>
      <c r="H34" s="317" t="s">
        <v>16</v>
      </c>
      <c r="I34" s="95" t="s">
        <v>16</v>
      </c>
      <c r="J34" s="96" t="s">
        <v>16</v>
      </c>
      <c r="K34" s="96" t="s">
        <v>16</v>
      </c>
      <c r="L34" s="313">
        <f>IF(L6=0,0,L10/L6*L30)</f>
        <v>1.0251276221525492</v>
      </c>
      <c r="M34" s="315" t="s">
        <v>16</v>
      </c>
      <c r="N34" s="95" t="s">
        <v>16</v>
      </c>
      <c r="O34" s="96" t="s">
        <v>16</v>
      </c>
      <c r="P34" s="96" t="s">
        <v>16</v>
      </c>
      <c r="Q34" s="313">
        <f>IF(Q6=0,0,Q10/Q6*Q30)</f>
        <v>1.0251276221525492</v>
      </c>
      <c r="R34" s="315" t="s">
        <v>16</v>
      </c>
      <c r="S34" s="95" t="s">
        <v>16</v>
      </c>
      <c r="T34" s="96" t="s">
        <v>16</v>
      </c>
      <c r="U34" s="312" t="s">
        <v>16</v>
      </c>
      <c r="V34" s="313">
        <f>AA34+AF34</f>
        <v>1.0191187741684749</v>
      </c>
      <c r="W34" s="317" t="s">
        <v>16</v>
      </c>
      <c r="X34" s="95" t="s">
        <v>16</v>
      </c>
      <c r="Y34" s="96" t="s">
        <v>16</v>
      </c>
      <c r="Z34" s="96" t="s">
        <v>16</v>
      </c>
      <c r="AA34" s="313">
        <f>IF(AA6=0,0,AA10/AA6*AA30)</f>
        <v>0.70565611745646184</v>
      </c>
      <c r="AB34" s="315" t="s">
        <v>16</v>
      </c>
      <c r="AC34" s="95" t="s">
        <v>16</v>
      </c>
      <c r="AD34" s="96" t="s">
        <v>16</v>
      </c>
      <c r="AE34" s="96" t="s">
        <v>16</v>
      </c>
      <c r="AF34" s="313">
        <f>IF(AF6=0,0,AF10/AF6*AF30)</f>
        <v>0.3134626567120129</v>
      </c>
      <c r="AG34" s="315" t="s">
        <v>16</v>
      </c>
      <c r="AH34" s="204"/>
      <c r="AI34" s="204"/>
      <c r="AJ34" s="204"/>
      <c r="AK34" s="204"/>
      <c r="AL34" s="204"/>
      <c r="AM34" s="204"/>
      <c r="AN34" s="204"/>
    </row>
    <row r="35" spans="1:40" s="205" customFormat="1" ht="12" customHeight="1" x14ac:dyDescent="0.2">
      <c r="A35" s="200"/>
      <c r="B35" s="316" t="s">
        <v>11</v>
      </c>
      <c r="C35" s="251" t="s">
        <v>34</v>
      </c>
      <c r="D35" s="95" t="s">
        <v>16</v>
      </c>
      <c r="E35" s="96" t="s">
        <v>16</v>
      </c>
      <c r="F35" s="96" t="s">
        <v>16</v>
      </c>
      <c r="G35" s="96" t="s">
        <v>16</v>
      </c>
      <c r="H35" s="314">
        <f t="shared" ref="H35:H40" si="7">M35+R35</f>
        <v>0.87558118789318184</v>
      </c>
      <c r="I35" s="95" t="s">
        <v>16</v>
      </c>
      <c r="J35" s="96" t="s">
        <v>16</v>
      </c>
      <c r="K35" s="96" t="s">
        <v>16</v>
      </c>
      <c r="L35" s="96" t="s">
        <v>16</v>
      </c>
      <c r="M35" s="314">
        <f>IF(M6=0,0,M11/M6*M30)</f>
        <v>0.43779059394659092</v>
      </c>
      <c r="N35" s="95" t="s">
        <v>16</v>
      </c>
      <c r="O35" s="96" t="s">
        <v>16</v>
      </c>
      <c r="P35" s="96" t="s">
        <v>16</v>
      </c>
      <c r="Q35" s="96" t="s">
        <v>16</v>
      </c>
      <c r="R35" s="314">
        <f>IF(R6=0,0,R11/R6*R30)</f>
        <v>0.43779059394659092</v>
      </c>
      <c r="S35" s="95" t="s">
        <v>16</v>
      </c>
      <c r="T35" s="96" t="s">
        <v>16</v>
      </c>
      <c r="U35" s="96" t="s">
        <v>16</v>
      </c>
      <c r="V35" s="96" t="s">
        <v>16</v>
      </c>
      <c r="W35" s="314">
        <f t="shared" ref="W35:W40" si="8">AB35+AG35</f>
        <v>0.76151304495547367</v>
      </c>
      <c r="X35" s="95" t="s">
        <v>16</v>
      </c>
      <c r="Y35" s="96" t="s">
        <v>16</v>
      </c>
      <c r="Z35" s="96" t="s">
        <v>16</v>
      </c>
      <c r="AA35" s="96" t="s">
        <v>16</v>
      </c>
      <c r="AB35" s="314">
        <f>IF(AB6=0,0,AB11/AB6*AB30)</f>
        <v>0.38085185660031179</v>
      </c>
      <c r="AC35" s="95" t="s">
        <v>16</v>
      </c>
      <c r="AD35" s="96" t="s">
        <v>16</v>
      </c>
      <c r="AE35" s="96" t="s">
        <v>16</v>
      </c>
      <c r="AF35" s="96" t="s">
        <v>16</v>
      </c>
      <c r="AG35" s="314">
        <f>IF(AG6=0,0,AG11/AG6*AG30)</f>
        <v>0.38066118835516183</v>
      </c>
      <c r="AH35" s="204"/>
      <c r="AI35" s="204"/>
      <c r="AJ35" s="204"/>
      <c r="AK35" s="204"/>
      <c r="AL35" s="204"/>
      <c r="AM35" s="204"/>
      <c r="AN35" s="204"/>
    </row>
    <row r="36" spans="1:40" s="205" customFormat="1" ht="12" customHeight="1" x14ac:dyDescent="0.2">
      <c r="A36" s="200"/>
      <c r="B36" s="316" t="s">
        <v>18</v>
      </c>
      <c r="C36" s="251" t="s">
        <v>34</v>
      </c>
      <c r="D36" s="318">
        <f t="shared" ref="D36:G40" si="9">I36+N36</f>
        <v>27.660274479597156</v>
      </c>
      <c r="E36" s="313">
        <f t="shared" si="9"/>
        <v>0</v>
      </c>
      <c r="F36" s="313">
        <f t="shared" si="9"/>
        <v>0</v>
      </c>
      <c r="G36" s="313">
        <f t="shared" si="9"/>
        <v>27.660274479597156</v>
      </c>
      <c r="H36" s="314">
        <f t="shared" si="7"/>
        <v>0</v>
      </c>
      <c r="I36" s="318">
        <f>SUM(J36:M36)</f>
        <v>13.830137239798578</v>
      </c>
      <c r="J36" s="313">
        <f>IF(J6=0,0,J12/J6*J30)</f>
        <v>0</v>
      </c>
      <c r="K36" s="313">
        <f>IF(K6=0,0,K12/K6*K30)</f>
        <v>0</v>
      </c>
      <c r="L36" s="313">
        <f>IF(L6=0,0,L12/L6*L30)</f>
        <v>13.830137239798578</v>
      </c>
      <c r="M36" s="314">
        <f>IF(M6=0,0,M12/M6*M30)</f>
        <v>0</v>
      </c>
      <c r="N36" s="318">
        <f>SUM(O36:R36)</f>
        <v>13.830137239798578</v>
      </c>
      <c r="O36" s="313">
        <f>IF(O6=0,0,O12/O6*O30)</f>
        <v>0</v>
      </c>
      <c r="P36" s="313">
        <f>IF(P6=0,0,P12/P6*P30)</f>
        <v>0</v>
      </c>
      <c r="Q36" s="313">
        <f>IF(Q6=0,0,Q12/Q6*Q30)</f>
        <v>13.830137239798578</v>
      </c>
      <c r="R36" s="314">
        <f>IF(R6=0,0,R12/R6*R30)</f>
        <v>0</v>
      </c>
      <c r="S36" s="318">
        <f t="shared" ref="S36:V40" si="10">X36+AC36</f>
        <v>28.874924143534756</v>
      </c>
      <c r="T36" s="313">
        <f t="shared" si="10"/>
        <v>0</v>
      </c>
      <c r="U36" s="313">
        <f t="shared" si="10"/>
        <v>0</v>
      </c>
      <c r="V36" s="313">
        <f t="shared" si="10"/>
        <v>28.874924143534756</v>
      </c>
      <c r="W36" s="314">
        <f t="shared" si="8"/>
        <v>0</v>
      </c>
      <c r="X36" s="318">
        <f>SUM(Y36:AB36)</f>
        <v>15.385548551290226</v>
      </c>
      <c r="Y36" s="313">
        <f>IF(Y6=0,0,Y12/Y6*Y30)</f>
        <v>0</v>
      </c>
      <c r="Z36" s="313">
        <f>IF(Z6=0,0,Z12/Z6*Z30)</f>
        <v>0</v>
      </c>
      <c r="AA36" s="313">
        <f>IF(AA6=0,0,AA12/AA6*AA30)</f>
        <v>15.385548551290226</v>
      </c>
      <c r="AB36" s="314">
        <f>IF(AB6=0,0,AB12/AB6*AB30)</f>
        <v>0</v>
      </c>
      <c r="AC36" s="318">
        <f>SUM(AD36:AG36)</f>
        <v>13.489375592244528</v>
      </c>
      <c r="AD36" s="313">
        <f>IF(AD6=0,0,AD12/AD6*AD30)</f>
        <v>0</v>
      </c>
      <c r="AE36" s="313">
        <f>IF(AE6=0,0,AE12/AE6*AE30)</f>
        <v>0</v>
      </c>
      <c r="AF36" s="313">
        <f>IF(AF6=0,0,AF12/AF6*AF30)</f>
        <v>13.489375592244528</v>
      </c>
      <c r="AG36" s="314">
        <f>IF(AG6=0,0,AG12/AG6*AG30)</f>
        <v>0</v>
      </c>
      <c r="AH36" s="204"/>
      <c r="AI36" s="204"/>
      <c r="AJ36" s="204"/>
      <c r="AK36" s="204"/>
      <c r="AL36" s="204"/>
      <c r="AM36" s="204"/>
      <c r="AN36" s="204"/>
    </row>
    <row r="37" spans="1:40" s="205" customFormat="1" ht="12" customHeight="1" x14ac:dyDescent="0.2">
      <c r="A37" s="200"/>
      <c r="B37" s="316" t="s">
        <v>19</v>
      </c>
      <c r="C37" s="251" t="s">
        <v>34</v>
      </c>
      <c r="D37" s="318">
        <f t="shared" si="9"/>
        <v>29.926390974179057</v>
      </c>
      <c r="E37" s="313">
        <f t="shared" si="9"/>
        <v>29.926390974179057</v>
      </c>
      <c r="F37" s="313">
        <f t="shared" si="9"/>
        <v>0</v>
      </c>
      <c r="G37" s="313">
        <f t="shared" si="9"/>
        <v>0</v>
      </c>
      <c r="H37" s="314">
        <f t="shared" si="7"/>
        <v>0</v>
      </c>
      <c r="I37" s="318">
        <f>SUM(J37:M37)</f>
        <v>14.963195487089529</v>
      </c>
      <c r="J37" s="313">
        <f>IF(J6=0,0,J13*(J30/J6))</f>
        <v>14.963195487089529</v>
      </c>
      <c r="K37" s="313">
        <f>IF(K6=0,0,K13/K6*K30)</f>
        <v>0</v>
      </c>
      <c r="L37" s="313">
        <f>IF(L6=0,0,L13/L6*L30)</f>
        <v>0</v>
      </c>
      <c r="M37" s="314">
        <f>IF(M6=0,0,M13/M6*M30)</f>
        <v>0</v>
      </c>
      <c r="N37" s="318">
        <f>SUM(O37:R37)</f>
        <v>14.96319548708953</v>
      </c>
      <c r="O37" s="313">
        <f>IF(O6=0,0,O13/O6*O30)</f>
        <v>14.96319548708953</v>
      </c>
      <c r="P37" s="313">
        <f>IF(P6=0,0,P13/P6*P30)</f>
        <v>0</v>
      </c>
      <c r="Q37" s="313">
        <f>IF(Q6=0,0,Q13/Q6*Q30)</f>
        <v>0</v>
      </c>
      <c r="R37" s="314">
        <f>IF(R6=0,0,R13/R6*R30)</f>
        <v>0</v>
      </c>
      <c r="S37" s="318">
        <f t="shared" si="10"/>
        <v>28.395922131962941</v>
      </c>
      <c r="T37" s="313">
        <f t="shared" si="10"/>
        <v>28.395922131962941</v>
      </c>
      <c r="U37" s="313">
        <f t="shared" si="10"/>
        <v>0</v>
      </c>
      <c r="V37" s="313">
        <f t="shared" si="10"/>
        <v>0</v>
      </c>
      <c r="W37" s="314">
        <f t="shared" si="8"/>
        <v>0</v>
      </c>
      <c r="X37" s="318">
        <f>SUM(Y37:AB37)</f>
        <v>14.390864528715285</v>
      </c>
      <c r="Y37" s="313">
        <f>IF(Y6=0,0,Y13*(Y30/Y6))</f>
        <v>14.390864528715285</v>
      </c>
      <c r="Z37" s="313">
        <f>IF(Z6=0,0,Z13/Z6*Z30)</f>
        <v>0</v>
      </c>
      <c r="AA37" s="313">
        <f>IF(AA6=0,0,AA13/AA6*AA30)</f>
        <v>0</v>
      </c>
      <c r="AB37" s="314">
        <f>IF(AB6=0,0,AB13/AB6*AB30)</f>
        <v>0</v>
      </c>
      <c r="AC37" s="318">
        <f>SUM(AD37:AG37)</f>
        <v>14.005057603247655</v>
      </c>
      <c r="AD37" s="313">
        <f>IF(AD6=0,0,AD13*(AD30/AD6))</f>
        <v>14.005057603247655</v>
      </c>
      <c r="AE37" s="313">
        <f>IF(AE6=0,0,AE13/AE6*AE30)</f>
        <v>0</v>
      </c>
      <c r="AF37" s="313">
        <f>IF(AF6=0,0,AF13/AF6*AF30)</f>
        <v>0</v>
      </c>
      <c r="AG37" s="314">
        <f>IF(AG6=0,0,AG13/AG6*AG30)</f>
        <v>0</v>
      </c>
      <c r="AH37" s="204"/>
      <c r="AI37" s="204"/>
      <c r="AJ37" s="204"/>
      <c r="AK37" s="204"/>
      <c r="AL37" s="204"/>
      <c r="AM37" s="204"/>
      <c r="AN37" s="204"/>
    </row>
    <row r="38" spans="1:40" s="205" customFormat="1" ht="12" customHeight="1" x14ac:dyDescent="0.2">
      <c r="A38" s="200"/>
      <c r="B38" s="316" t="s">
        <v>20</v>
      </c>
      <c r="C38" s="251" t="s">
        <v>34</v>
      </c>
      <c r="D38" s="318">
        <f t="shared" si="9"/>
        <v>315.11119085890164</v>
      </c>
      <c r="E38" s="313">
        <f t="shared" si="9"/>
        <v>205.78800987501694</v>
      </c>
      <c r="F38" s="313">
        <f t="shared" si="9"/>
        <v>103.83859449393508</v>
      </c>
      <c r="G38" s="313">
        <f t="shared" si="9"/>
        <v>5.4601001840574952</v>
      </c>
      <c r="H38" s="314">
        <f t="shared" si="7"/>
        <v>2.448630589205987E-2</v>
      </c>
      <c r="I38" s="318">
        <f>SUM(J38:M38)</f>
        <v>157.55559545841038</v>
      </c>
      <c r="J38" s="313">
        <f>IF(J6=0,0,J14/J6*J30)</f>
        <v>102.89400493750847</v>
      </c>
      <c r="K38" s="313">
        <f>IF(K6=0,0,K14/K6*K30)</f>
        <v>51.919297246967538</v>
      </c>
      <c r="L38" s="313">
        <f>IF(L6=0,0,L14/L6*L30)</f>
        <v>2.7300500920287476</v>
      </c>
      <c r="M38" s="314">
        <f>IF(M6=0,0,M14/M6*M30)</f>
        <v>1.2243181905605647E-2</v>
      </c>
      <c r="N38" s="318">
        <f>SUM(O38:R38)</f>
        <v>157.55559540049123</v>
      </c>
      <c r="O38" s="313">
        <f>IF(O6=0,0,O14/O6*O30)</f>
        <v>102.89400493750847</v>
      </c>
      <c r="P38" s="313">
        <f>IF(P6=0,0,P14/P6*P30)</f>
        <v>51.919297246967538</v>
      </c>
      <c r="Q38" s="313">
        <f>IF(Q6=0,0,Q14/Q6*Q30)</f>
        <v>2.7300500920287476</v>
      </c>
      <c r="R38" s="314">
        <f>IF(R6=0,0,R14/R6*R30)</f>
        <v>1.2243123986454224E-2</v>
      </c>
      <c r="S38" s="318">
        <f t="shared" si="10"/>
        <v>317.08504948196253</v>
      </c>
      <c r="T38" s="313">
        <f t="shared" si="10"/>
        <v>207.97503665758296</v>
      </c>
      <c r="U38" s="313">
        <f t="shared" si="10"/>
        <v>102.77391814799398</v>
      </c>
      <c r="V38" s="313">
        <f t="shared" si="10"/>
        <v>6.2462241110090773</v>
      </c>
      <c r="W38" s="314">
        <f t="shared" si="8"/>
        <v>8.9870565376534789E-2</v>
      </c>
      <c r="X38" s="318">
        <f>SUM(Y38:AB38)</f>
        <v>157.62375238030342</v>
      </c>
      <c r="Y38" s="313">
        <f>IF(Y6=0,0,Y14/Y6*Y30)</f>
        <v>102.74440117847242</v>
      </c>
      <c r="Z38" s="313">
        <f>IF(Z6=0,0,Z14/Z6*Z30)</f>
        <v>51.589447019682417</v>
      </c>
      <c r="AA38" s="313">
        <f>IF(AA6=0,0,AA14/AA6*AA30)</f>
        <v>3.244957947295489</v>
      </c>
      <c r="AB38" s="314">
        <f>IF(AB6=0,0,AB14/AB6*AB30)</f>
        <v>4.4946234853089004E-2</v>
      </c>
      <c r="AC38" s="318">
        <f>SUM(AD38:AG38)</f>
        <v>159.46129710165914</v>
      </c>
      <c r="AD38" s="313">
        <f>IF(AD6=0,0,AD14/AD6*AD30)</f>
        <v>105.23063547911053</v>
      </c>
      <c r="AE38" s="313">
        <f>IF(AE6=0,0,AE14/AE6*AE30)</f>
        <v>51.184471128311571</v>
      </c>
      <c r="AF38" s="313">
        <f>IF(AF6=0,0,AF14/AF6*AF30)</f>
        <v>3.0012661637135882</v>
      </c>
      <c r="AG38" s="314">
        <f>IF(AG6=0,0,AG14/AG6*AG30)</f>
        <v>4.4924330523445792E-2</v>
      </c>
      <c r="AH38" s="204"/>
      <c r="AI38" s="204"/>
      <c r="AJ38" s="204"/>
      <c r="AK38" s="204"/>
      <c r="AL38" s="204"/>
      <c r="AM38" s="204"/>
      <c r="AN38" s="204"/>
    </row>
    <row r="39" spans="1:40" s="205" customFormat="1" ht="28.9" customHeight="1" x14ac:dyDescent="0.2">
      <c r="A39" s="200"/>
      <c r="B39" s="250" t="s">
        <v>35</v>
      </c>
      <c r="C39" s="251" t="s">
        <v>34</v>
      </c>
      <c r="D39" s="318">
        <f t="shared" si="9"/>
        <v>3.2152245173594038E-2</v>
      </c>
      <c r="E39" s="313">
        <f t="shared" si="9"/>
        <v>0</v>
      </c>
      <c r="F39" s="313">
        <f t="shared" si="9"/>
        <v>0</v>
      </c>
      <c r="G39" s="313">
        <f t="shared" si="9"/>
        <v>3.2152245173594038E-2</v>
      </c>
      <c r="H39" s="314">
        <f t="shared" si="7"/>
        <v>0</v>
      </c>
      <c r="I39" s="318">
        <f>SUM(J39:M39)</f>
        <v>1.6076122586797019E-2</v>
      </c>
      <c r="J39" s="313">
        <f>IF(J6=0,0,J15/J6*J30)</f>
        <v>0</v>
      </c>
      <c r="K39" s="313">
        <f>IF(K6=0,0,K15/K6*K30)</f>
        <v>0</v>
      </c>
      <c r="L39" s="313">
        <f>IF(L6=0,0,L15/L6*L30)</f>
        <v>1.6076122586797019E-2</v>
      </c>
      <c r="M39" s="313">
        <f>IF(M6=0,0,M15/M6*M30)</f>
        <v>0</v>
      </c>
      <c r="N39" s="318">
        <f>SUM(O39:R39)</f>
        <v>1.6076122586797019E-2</v>
      </c>
      <c r="O39" s="313">
        <f>IF(O6=0,0,O15/O6*O30)</f>
        <v>0</v>
      </c>
      <c r="P39" s="313">
        <f>IF(P6=0,0,P15/P6*P30)</f>
        <v>0</v>
      </c>
      <c r="Q39" s="313">
        <f>IF(Q6=0,0,Q15/Q6*Q30)</f>
        <v>1.6076122586797019E-2</v>
      </c>
      <c r="R39" s="314">
        <f>IF(R6=0,0,R15/R6*R30)</f>
        <v>0</v>
      </c>
      <c r="S39" s="318">
        <f t="shared" si="10"/>
        <v>17.161514560763848</v>
      </c>
      <c r="T39" s="313">
        <f t="shared" si="10"/>
        <v>0</v>
      </c>
      <c r="U39" s="313">
        <f t="shared" si="10"/>
        <v>0</v>
      </c>
      <c r="V39" s="313">
        <f t="shared" si="10"/>
        <v>3.1183509367009948E-2</v>
      </c>
      <c r="W39" s="314">
        <f t="shared" si="8"/>
        <v>0</v>
      </c>
      <c r="X39" s="318">
        <f>X16</f>
        <v>8.5822762672434632</v>
      </c>
      <c r="Y39" s="313">
        <f>IF(Y6=0,0,Y15/Y6*Y30)</f>
        <v>0</v>
      </c>
      <c r="Z39" s="313">
        <f>IF(Z6=0,0,Z15/Z6*Z30)</f>
        <v>0</v>
      </c>
      <c r="AA39" s="313">
        <f>IF(AA6=0,0,AA15/AA6*AA30)</f>
        <v>1.6195314264516026E-2</v>
      </c>
      <c r="AB39" s="313">
        <f>IF(AB6=0,0,AB15/AB6*AB30)</f>
        <v>0</v>
      </c>
      <c r="AC39" s="318">
        <f>AC16</f>
        <v>8.5792382935203833</v>
      </c>
      <c r="AD39" s="313">
        <f>IF(AD6=0,0,AD15/AD6*AD30)</f>
        <v>0</v>
      </c>
      <c r="AE39" s="313">
        <f>IF(AE6=0,0,AE15/AE6*AE30)</f>
        <v>0</v>
      </c>
      <c r="AF39" s="313">
        <f>IF(AF6=0,0,AF15/AF6*AF30)</f>
        <v>1.4988195102493922E-2</v>
      </c>
      <c r="AG39" s="314">
        <f>IF(AG6=0,0,AG15/AG6*AG30)</f>
        <v>0</v>
      </c>
      <c r="AH39" s="204"/>
      <c r="AI39" s="204"/>
      <c r="AJ39" s="204"/>
      <c r="AK39" s="204"/>
      <c r="AL39" s="204"/>
      <c r="AM39" s="204"/>
      <c r="AN39" s="204"/>
    </row>
    <row r="40" spans="1:40" s="205" customFormat="1" ht="12" customHeight="1" x14ac:dyDescent="0.2">
      <c r="A40" s="200"/>
      <c r="B40" s="319" t="s">
        <v>22</v>
      </c>
      <c r="C40" s="306" t="s">
        <v>34</v>
      </c>
      <c r="D40" s="320">
        <f t="shared" si="9"/>
        <v>7.9621088495968078</v>
      </c>
      <c r="E40" s="321">
        <f>J40+O40</f>
        <v>3.7940593166678349</v>
      </c>
      <c r="F40" s="321">
        <f t="shared" si="9"/>
        <v>3.2707087583496186</v>
      </c>
      <c r="G40" s="321">
        <f t="shared" si="9"/>
        <v>0.84280736946211088</v>
      </c>
      <c r="H40" s="322">
        <f t="shared" si="7"/>
        <v>5.4533405117243271E-2</v>
      </c>
      <c r="I40" s="320">
        <f>SUM(J40:M40)</f>
        <v>3.9810544247984039</v>
      </c>
      <c r="J40" s="321">
        <f>J30*J41/100</f>
        <v>1.8970296583339175</v>
      </c>
      <c r="K40" s="321">
        <f>K30*K41/100</f>
        <v>1.6353543791748093</v>
      </c>
      <c r="L40" s="321">
        <f>L30*L41/100</f>
        <v>0.42140368473105544</v>
      </c>
      <c r="M40" s="322">
        <f>M30*M41/100</f>
        <v>2.7266702558621635E-2</v>
      </c>
      <c r="N40" s="320">
        <f>SUM(O40:R40)</f>
        <v>3.9810544247984039</v>
      </c>
      <c r="O40" s="321">
        <f>O30*O41/100</f>
        <v>1.8970296583339175</v>
      </c>
      <c r="P40" s="321">
        <f>P30*P41/100</f>
        <v>1.6353543791748093</v>
      </c>
      <c r="Q40" s="321">
        <f>Q30*Q41/100</f>
        <v>0.42140368473105544</v>
      </c>
      <c r="R40" s="322">
        <f>R30*R41/100</f>
        <v>2.7266702558621635E-2</v>
      </c>
      <c r="S40" s="320">
        <f t="shared" si="10"/>
        <v>7.9827737668272585</v>
      </c>
      <c r="T40" s="321">
        <f>Y40+AD40</f>
        <v>3.8046269526765304</v>
      </c>
      <c r="U40" s="321">
        <f t="shared" si="10"/>
        <v>3.2371728738255143</v>
      </c>
      <c r="V40" s="321">
        <f t="shared" si="10"/>
        <v>0.88939032999320577</v>
      </c>
      <c r="W40" s="322">
        <f t="shared" si="8"/>
        <v>5.1583610332008464E-2</v>
      </c>
      <c r="X40" s="320">
        <f>SUM(Y40:AB40)</f>
        <v>4.001255274573448</v>
      </c>
      <c r="Y40" s="321">
        <f>Y30*Y41/100</f>
        <v>1.885409236822893</v>
      </c>
      <c r="Z40" s="321">
        <f>Z30*Z41/100</f>
        <v>1.6249644022259568</v>
      </c>
      <c r="AA40" s="321">
        <f>AA30*AA41/100</f>
        <v>0.46508354407119762</v>
      </c>
      <c r="AB40" s="322">
        <f>AB30*AB41/100</f>
        <v>2.5798091453400809E-2</v>
      </c>
      <c r="AC40" s="320">
        <f>SUM(AD40:AG40)</f>
        <v>3.9815184922538105</v>
      </c>
      <c r="AD40" s="321">
        <f>AD30*AD41/100</f>
        <v>1.9192177158536372</v>
      </c>
      <c r="AE40" s="321">
        <f>AE30*AE41/100</f>
        <v>1.6122084715995577</v>
      </c>
      <c r="AF40" s="321">
        <f>AF30*AF41/100</f>
        <v>0.42430678592200821</v>
      </c>
      <c r="AG40" s="322">
        <f>AG30*AG41/100</f>
        <v>2.5785518878607659E-2</v>
      </c>
      <c r="AH40" s="204"/>
      <c r="AI40" s="204"/>
      <c r="AJ40" s="204"/>
      <c r="AK40" s="204"/>
      <c r="AL40" s="204"/>
      <c r="AM40" s="204"/>
      <c r="AN40" s="204"/>
    </row>
    <row r="41" spans="1:40" s="205" customFormat="1" ht="12" customHeight="1" x14ac:dyDescent="0.2">
      <c r="A41" s="200"/>
      <c r="B41" s="323"/>
      <c r="C41" s="240" t="s">
        <v>23</v>
      </c>
      <c r="D41" s="324">
        <f>IFERROR(D40/D30*100,0)</f>
        <v>2.1361595371835822</v>
      </c>
      <c r="E41" s="325">
        <f>IFERROR(E40/E30*100,0)</f>
        <v>1.6095999999999999</v>
      </c>
      <c r="F41" s="325">
        <f>IFERROR(F40/F30*100,0)</f>
        <v>3.1498000000000004</v>
      </c>
      <c r="G41" s="325">
        <f>IFERROR(G40/G30*100,0)</f>
        <v>2.2780999999999998</v>
      </c>
      <c r="H41" s="326">
        <f>IFERROR(H40/H30*100,0)</f>
        <v>6.0588000000000006</v>
      </c>
      <c r="I41" s="324">
        <f>I40/I30*100</f>
        <v>2.1361595371835822</v>
      </c>
      <c r="J41" s="327">
        <f t="shared" ref="J41:M42" si="11">J17</f>
        <v>1.6095999999999999</v>
      </c>
      <c r="K41" s="327">
        <f t="shared" si="11"/>
        <v>3.1497999999999999</v>
      </c>
      <c r="L41" s="327">
        <f t="shared" si="11"/>
        <v>2.2780999999999998</v>
      </c>
      <c r="M41" s="328">
        <f t="shared" si="11"/>
        <v>6.0587999999999997</v>
      </c>
      <c r="N41" s="324">
        <f>N40/N30*100</f>
        <v>2.1361595371835822</v>
      </c>
      <c r="O41" s="327">
        <f t="shared" ref="O41:R42" si="12">O17</f>
        <v>1.6095999999999999</v>
      </c>
      <c r="P41" s="327">
        <f t="shared" si="12"/>
        <v>3.1497999999999999</v>
      </c>
      <c r="Q41" s="327">
        <f t="shared" si="12"/>
        <v>2.2780999999999998</v>
      </c>
      <c r="R41" s="328">
        <f t="shared" si="12"/>
        <v>6.0587999999999997</v>
      </c>
      <c r="S41" s="324">
        <f>IFERROR(S40/S30*100,0)</f>
        <v>2.1322246970862748</v>
      </c>
      <c r="T41" s="325">
        <f>IFERROR(T40/T30*100,0)</f>
        <v>1.6095999999999999</v>
      </c>
      <c r="U41" s="325">
        <f>IFERROR(U40/U30*100,0)</f>
        <v>3.1497999999999999</v>
      </c>
      <c r="V41" s="325">
        <f>IFERROR(V40/V30*100,0)</f>
        <v>2.2780999999999993</v>
      </c>
      <c r="W41" s="326">
        <f>IFERROR(W40/W30*100,0)</f>
        <v>6.0587976684085731</v>
      </c>
      <c r="X41" s="324">
        <f>IF(X30=0,0,X40/X30*100)</f>
        <v>2.1349551650862564</v>
      </c>
      <c r="Y41" s="327">
        <f t="shared" ref="Y41:AB42" si="13">Y17</f>
        <v>1.6095999999999999</v>
      </c>
      <c r="Z41" s="327">
        <f t="shared" si="13"/>
        <v>3.1497999999999999</v>
      </c>
      <c r="AA41" s="327">
        <f t="shared" si="13"/>
        <v>2.2780999999999998</v>
      </c>
      <c r="AB41" s="328">
        <f t="shared" si="13"/>
        <v>6.0587616457703506</v>
      </c>
      <c r="AC41" s="324">
        <f>IF(AC30=0,0,AC40/AC30*100)</f>
        <v>2.1294877210512322</v>
      </c>
      <c r="AD41" s="327">
        <f t="shared" ref="AD41:AG42" si="14">AD17</f>
        <v>1.6095999999999999</v>
      </c>
      <c r="AE41" s="327">
        <f t="shared" si="14"/>
        <v>3.1497999999999999</v>
      </c>
      <c r="AF41" s="327">
        <f t="shared" si="14"/>
        <v>2.2780999999999998</v>
      </c>
      <c r="AG41" s="328">
        <f t="shared" si="14"/>
        <v>6.0588337090394795</v>
      </c>
      <c r="AH41" s="264"/>
      <c r="AI41" s="204"/>
      <c r="AJ41" s="204"/>
      <c r="AK41" s="204"/>
      <c r="AL41" s="204"/>
      <c r="AM41" s="204"/>
      <c r="AN41" s="204"/>
    </row>
    <row r="42" spans="1:40" s="205" customFormat="1" ht="31.5" customHeight="1" x14ac:dyDescent="0.2">
      <c r="A42" s="200"/>
      <c r="B42" s="329" t="s">
        <v>36</v>
      </c>
      <c r="C42" s="266" t="s">
        <v>34</v>
      </c>
      <c r="D42" s="320">
        <f t="shared" ref="D42:H45" si="15">I42+N42</f>
        <v>0</v>
      </c>
      <c r="E42" s="321">
        <f t="shared" si="15"/>
        <v>0</v>
      </c>
      <c r="F42" s="321">
        <f t="shared" si="15"/>
        <v>0</v>
      </c>
      <c r="G42" s="321">
        <f t="shared" si="15"/>
        <v>0</v>
      </c>
      <c r="H42" s="322">
        <f t="shared" si="15"/>
        <v>0</v>
      </c>
      <c r="I42" s="320">
        <f>SUM(J42:M42)</f>
        <v>0</v>
      </c>
      <c r="J42" s="321">
        <f t="shared" si="11"/>
        <v>0</v>
      </c>
      <c r="K42" s="321">
        <f t="shared" si="11"/>
        <v>0</v>
      </c>
      <c r="L42" s="321">
        <f t="shared" si="11"/>
        <v>0</v>
      </c>
      <c r="M42" s="322">
        <f t="shared" si="11"/>
        <v>0</v>
      </c>
      <c r="N42" s="320">
        <f>SUM(O42:R42)</f>
        <v>0</v>
      </c>
      <c r="O42" s="321">
        <f t="shared" si="12"/>
        <v>0</v>
      </c>
      <c r="P42" s="321">
        <f t="shared" si="12"/>
        <v>0</v>
      </c>
      <c r="Q42" s="321">
        <f t="shared" si="12"/>
        <v>0</v>
      </c>
      <c r="R42" s="322">
        <f t="shared" si="12"/>
        <v>0</v>
      </c>
      <c r="S42" s="320">
        <f t="shared" ref="S42:W45" si="16">X42+AC42</f>
        <v>0</v>
      </c>
      <c r="T42" s="321">
        <f t="shared" si="16"/>
        <v>0</v>
      </c>
      <c r="U42" s="321">
        <f t="shared" si="16"/>
        <v>0</v>
      </c>
      <c r="V42" s="321">
        <f t="shared" si="16"/>
        <v>0</v>
      </c>
      <c r="W42" s="322">
        <f t="shared" si="16"/>
        <v>0</v>
      </c>
      <c r="X42" s="320">
        <f>SUM(Y42:AB42)</f>
        <v>0</v>
      </c>
      <c r="Y42" s="321">
        <f t="shared" si="13"/>
        <v>0</v>
      </c>
      <c r="Z42" s="321">
        <f t="shared" si="13"/>
        <v>0</v>
      </c>
      <c r="AA42" s="321">
        <f t="shared" si="13"/>
        <v>0</v>
      </c>
      <c r="AB42" s="322">
        <f t="shared" si="13"/>
        <v>0</v>
      </c>
      <c r="AC42" s="320">
        <f>SUM(AD42:AG42)</f>
        <v>0</v>
      </c>
      <c r="AD42" s="321">
        <f t="shared" si="14"/>
        <v>0</v>
      </c>
      <c r="AE42" s="321">
        <f t="shared" si="14"/>
        <v>0</v>
      </c>
      <c r="AF42" s="321">
        <f t="shared" si="14"/>
        <v>0</v>
      </c>
      <c r="AG42" s="322">
        <f t="shared" si="14"/>
        <v>0</v>
      </c>
      <c r="AH42" s="204"/>
      <c r="AI42" s="204"/>
      <c r="AJ42" s="204"/>
      <c r="AK42" s="204"/>
      <c r="AL42" s="204"/>
      <c r="AM42" s="204"/>
      <c r="AN42" s="204"/>
    </row>
    <row r="43" spans="1:40" s="269" customFormat="1" ht="12" customHeight="1" x14ac:dyDescent="0.2">
      <c r="A43" s="200"/>
      <c r="B43" s="330" t="s">
        <v>56</v>
      </c>
      <c r="C43" s="259" t="s">
        <v>34</v>
      </c>
      <c r="D43" s="320">
        <f>I43+N43</f>
        <v>364.76795699999997</v>
      </c>
      <c r="E43" s="321">
        <f t="shared" si="15"/>
        <v>230.12709100000001</v>
      </c>
      <c r="F43" s="321">
        <f t="shared" si="15"/>
        <v>98.517652999999996</v>
      </c>
      <c r="G43" s="321">
        <f>L43+Q43</f>
        <v>35.277676999999997</v>
      </c>
      <c r="H43" s="322">
        <f t="shared" si="15"/>
        <v>0.84553599999999562</v>
      </c>
      <c r="I43" s="320">
        <f t="shared" ref="I43:R43" si="17">I44+I45</f>
        <v>182.38397849999998</v>
      </c>
      <c r="J43" s="321">
        <f t="shared" si="17"/>
        <v>115.0635455</v>
      </c>
      <c r="K43" s="321">
        <f t="shared" si="17"/>
        <v>49.258826499999998</v>
      </c>
      <c r="L43" s="321">
        <f t="shared" si="17"/>
        <v>17.638838499999999</v>
      </c>
      <c r="M43" s="322">
        <f t="shared" si="17"/>
        <v>0.42276799999999781</v>
      </c>
      <c r="N43" s="320">
        <f t="shared" si="17"/>
        <v>182.38397849999998</v>
      </c>
      <c r="O43" s="321">
        <f t="shared" si="17"/>
        <v>115.0635455</v>
      </c>
      <c r="P43" s="321">
        <f t="shared" si="17"/>
        <v>49.258826499999998</v>
      </c>
      <c r="Q43" s="321">
        <f t="shared" si="17"/>
        <v>17.638838499999999</v>
      </c>
      <c r="R43" s="322">
        <f t="shared" si="17"/>
        <v>0.42276799999999781</v>
      </c>
      <c r="S43" s="320">
        <f t="shared" si="16"/>
        <v>366.40430549999996</v>
      </c>
      <c r="T43" s="321">
        <f t="shared" si="16"/>
        <v>229.69690049999997</v>
      </c>
      <c r="U43" s="321">
        <f t="shared" si="16"/>
        <v>98.517626500000006</v>
      </c>
      <c r="V43" s="321">
        <f t="shared" si="16"/>
        <v>37.389978499999998</v>
      </c>
      <c r="W43" s="322">
        <f t="shared" si="16"/>
        <v>0.79980000000000007</v>
      </c>
      <c r="X43" s="320">
        <f t="shared" ref="X43:AA43" si="18">X44+X45</f>
        <v>183.41510549999998</v>
      </c>
      <c r="Y43" s="321">
        <f t="shared" si="18"/>
        <v>114.18680049999999</v>
      </c>
      <c r="Z43" s="321">
        <f t="shared" si="18"/>
        <v>49.258826499999998</v>
      </c>
      <c r="AA43" s="321">
        <f t="shared" si="18"/>
        <v>19.569478499999999</v>
      </c>
      <c r="AB43" s="322">
        <f>AB44+AB45</f>
        <v>0.4</v>
      </c>
      <c r="AC43" s="320">
        <f t="shared" ref="AC43:AF43" si="19">AC44+AC45</f>
        <v>182.98920000000001</v>
      </c>
      <c r="AD43" s="321">
        <f t="shared" si="19"/>
        <v>115.51009999999999</v>
      </c>
      <c r="AE43" s="321">
        <f t="shared" si="19"/>
        <v>49.258800000000001</v>
      </c>
      <c r="AF43" s="321">
        <f t="shared" si="19"/>
        <v>17.820499999999999</v>
      </c>
      <c r="AG43" s="322">
        <f>AG44+AG45</f>
        <v>0.39979999999999999</v>
      </c>
      <c r="AH43" s="268"/>
      <c r="AI43" s="268"/>
      <c r="AJ43" s="268"/>
      <c r="AK43" s="268"/>
      <c r="AL43" s="268"/>
      <c r="AM43" s="268"/>
      <c r="AN43" s="268"/>
    </row>
    <row r="44" spans="1:40" s="205" customFormat="1" ht="15.75" customHeight="1" x14ac:dyDescent="0.2">
      <c r="A44" s="200"/>
      <c r="B44" s="331" t="s">
        <v>57</v>
      </c>
      <c r="C44" s="240" t="s">
        <v>34</v>
      </c>
      <c r="D44" s="318">
        <f t="shared" si="15"/>
        <v>0</v>
      </c>
      <c r="E44" s="313">
        <f t="shared" si="15"/>
        <v>0</v>
      </c>
      <c r="F44" s="313">
        <f t="shared" si="15"/>
        <v>0</v>
      </c>
      <c r="G44" s="313">
        <f t="shared" si="15"/>
        <v>0</v>
      </c>
      <c r="H44" s="314">
        <f t="shared" si="15"/>
        <v>0</v>
      </c>
      <c r="I44" s="318">
        <f>SUM(J44:M44)</f>
        <v>0</v>
      </c>
      <c r="J44" s="313">
        <f t="shared" ref="J44:M45" si="20">J20</f>
        <v>0</v>
      </c>
      <c r="K44" s="313">
        <f t="shared" si="20"/>
        <v>0</v>
      </c>
      <c r="L44" s="313">
        <f t="shared" si="20"/>
        <v>0</v>
      </c>
      <c r="M44" s="314">
        <f t="shared" si="20"/>
        <v>0</v>
      </c>
      <c r="N44" s="318">
        <f>SUM(O44:R44)</f>
        <v>0</v>
      </c>
      <c r="O44" s="313">
        <f t="shared" ref="O44:R45" si="21">O20</f>
        <v>0</v>
      </c>
      <c r="P44" s="313">
        <f t="shared" si="21"/>
        <v>0</v>
      </c>
      <c r="Q44" s="313">
        <f t="shared" si="21"/>
        <v>0</v>
      </c>
      <c r="R44" s="314">
        <f t="shared" si="21"/>
        <v>0</v>
      </c>
      <c r="S44" s="318">
        <f t="shared" si="16"/>
        <v>0.8398000000000001</v>
      </c>
      <c r="T44" s="313">
        <f t="shared" si="16"/>
        <v>0</v>
      </c>
      <c r="U44" s="313">
        <f t="shared" si="16"/>
        <v>0</v>
      </c>
      <c r="V44" s="313">
        <f t="shared" si="16"/>
        <v>0.04</v>
      </c>
      <c r="W44" s="314">
        <f t="shared" si="16"/>
        <v>0.79980000000000007</v>
      </c>
      <c r="X44" s="318">
        <f>SUM(Y44:AB44)</f>
        <v>0.42000000000000004</v>
      </c>
      <c r="Y44" s="313">
        <f t="shared" ref="Y44:AB45" si="22">Y20</f>
        <v>0</v>
      </c>
      <c r="Z44" s="313">
        <f t="shared" si="22"/>
        <v>0</v>
      </c>
      <c r="AA44" s="313">
        <f t="shared" si="22"/>
        <v>0.02</v>
      </c>
      <c r="AB44" s="314">
        <f>AB20</f>
        <v>0.4</v>
      </c>
      <c r="AC44" s="318">
        <f>SUM(AD44:AG44)</f>
        <v>0.41980000000000001</v>
      </c>
      <c r="AD44" s="313">
        <f t="shared" ref="AD44:AG45" si="23">AD20</f>
        <v>0</v>
      </c>
      <c r="AE44" s="313">
        <f t="shared" si="23"/>
        <v>0</v>
      </c>
      <c r="AF44" s="313">
        <f t="shared" si="23"/>
        <v>0.02</v>
      </c>
      <c r="AG44" s="314">
        <f>AG20</f>
        <v>0.39979999999999999</v>
      </c>
      <c r="AH44" s="332"/>
      <c r="AI44" s="332"/>
      <c r="AJ44" s="204"/>
      <c r="AK44" s="204"/>
      <c r="AL44" s="204"/>
      <c r="AM44" s="204"/>
      <c r="AN44" s="204"/>
    </row>
    <row r="45" spans="1:40" s="269" customFormat="1" ht="26.25" customHeight="1" thickBot="1" x14ac:dyDescent="0.25">
      <c r="A45" s="257"/>
      <c r="B45" s="333" t="s">
        <v>52</v>
      </c>
      <c r="C45" s="334" t="s">
        <v>34</v>
      </c>
      <c r="D45" s="335">
        <f t="shared" si="15"/>
        <v>364.76795699999997</v>
      </c>
      <c r="E45" s="336">
        <f t="shared" si="15"/>
        <v>230.12709100000001</v>
      </c>
      <c r="F45" s="336">
        <f t="shared" si="15"/>
        <v>98.517652999999996</v>
      </c>
      <c r="G45" s="336">
        <f>L45+Q45</f>
        <v>35.277676999999997</v>
      </c>
      <c r="H45" s="337">
        <f t="shared" si="15"/>
        <v>0.84553599999999562</v>
      </c>
      <c r="I45" s="335">
        <f>SUM(J45:M45)</f>
        <v>182.38397849999998</v>
      </c>
      <c r="J45" s="336">
        <f t="shared" si="20"/>
        <v>115.0635455</v>
      </c>
      <c r="K45" s="336">
        <f t="shared" si="20"/>
        <v>49.258826499999998</v>
      </c>
      <c r="L45" s="336">
        <f t="shared" si="20"/>
        <v>17.638838499999999</v>
      </c>
      <c r="M45" s="336">
        <f t="shared" si="20"/>
        <v>0.42276799999999781</v>
      </c>
      <c r="N45" s="335">
        <f>SUM(O45:R45)</f>
        <v>182.38397849999998</v>
      </c>
      <c r="O45" s="336">
        <f t="shared" si="21"/>
        <v>115.0635455</v>
      </c>
      <c r="P45" s="336">
        <f t="shared" si="21"/>
        <v>49.258826499999998</v>
      </c>
      <c r="Q45" s="336">
        <f t="shared" si="21"/>
        <v>17.638838499999999</v>
      </c>
      <c r="R45" s="337">
        <f t="shared" si="21"/>
        <v>0.42276799999999781</v>
      </c>
      <c r="S45" s="335">
        <f t="shared" si="16"/>
        <v>365.5645055</v>
      </c>
      <c r="T45" s="336">
        <f>T21</f>
        <v>229.6969</v>
      </c>
      <c r="U45" s="336">
        <f>U21</f>
        <v>98.517600000000002</v>
      </c>
      <c r="V45" s="336">
        <f>V21</f>
        <v>37.35</v>
      </c>
      <c r="W45" s="337">
        <f>W21</f>
        <v>0</v>
      </c>
      <c r="X45" s="335">
        <f>SUM(Y45:AB45)</f>
        <v>182.99510549999999</v>
      </c>
      <c r="Y45" s="336">
        <f t="shared" si="22"/>
        <v>114.18680049999999</v>
      </c>
      <c r="Z45" s="336">
        <f t="shared" si="22"/>
        <v>49.258826499999998</v>
      </c>
      <c r="AA45" s="336">
        <f t="shared" si="22"/>
        <v>19.549478499999999</v>
      </c>
      <c r="AB45" s="336">
        <f t="shared" si="22"/>
        <v>0</v>
      </c>
      <c r="AC45" s="335">
        <f>SUM(AD45:AG45)</f>
        <v>182.5694</v>
      </c>
      <c r="AD45" s="336">
        <f t="shared" si="23"/>
        <v>115.51009999999999</v>
      </c>
      <c r="AE45" s="336">
        <f t="shared" si="23"/>
        <v>49.258800000000001</v>
      </c>
      <c r="AF45" s="336">
        <f t="shared" si="23"/>
        <v>17.8005</v>
      </c>
      <c r="AG45" s="337">
        <f t="shared" si="23"/>
        <v>0</v>
      </c>
      <c r="AH45" s="338"/>
      <c r="AI45" s="338"/>
      <c r="AJ45" s="268"/>
      <c r="AK45" s="268"/>
      <c r="AL45" s="268"/>
      <c r="AM45" s="268"/>
      <c r="AN45" s="268"/>
    </row>
    <row r="46" spans="1:40" s="205" customFormat="1" ht="12" customHeight="1" x14ac:dyDescent="0.2">
      <c r="A46" s="200"/>
      <c r="B46" s="200"/>
      <c r="C46" s="297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04"/>
      <c r="AI46" s="204"/>
      <c r="AJ46" s="204"/>
      <c r="AK46" s="204"/>
      <c r="AL46" s="204"/>
      <c r="AM46" s="204"/>
      <c r="AN46" s="204"/>
    </row>
    <row r="47" spans="1:40" s="205" customFormat="1" ht="12" customHeight="1" x14ac:dyDescent="0.2">
      <c r="A47" s="200"/>
      <c r="B47" s="200"/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04"/>
      <c r="AI47" s="204"/>
      <c r="AJ47" s="204"/>
      <c r="AK47" s="204"/>
      <c r="AL47" s="204"/>
      <c r="AM47" s="204"/>
      <c r="AN47" s="204"/>
    </row>
    <row r="48" spans="1:40" s="205" customFormat="1" x14ac:dyDescent="0.2">
      <c r="A48" s="200"/>
      <c r="B48" s="201" t="s">
        <v>58</v>
      </c>
      <c r="C48" s="72"/>
      <c r="D48" s="73"/>
      <c r="E48" s="74"/>
      <c r="F48" s="74"/>
      <c r="G48" s="74"/>
      <c r="H48" s="74"/>
      <c r="I48" s="73"/>
      <c r="J48" s="75"/>
      <c r="K48" s="75"/>
      <c r="L48" s="75"/>
      <c r="M48" s="75"/>
      <c r="N48" s="73"/>
      <c r="O48" s="75"/>
      <c r="P48" s="75"/>
      <c r="Q48" s="75"/>
      <c r="R48" s="75"/>
      <c r="S48" s="73"/>
      <c r="T48" s="74"/>
      <c r="U48" s="74"/>
      <c r="V48" s="74"/>
      <c r="W48" s="74"/>
      <c r="X48" s="73"/>
      <c r="Y48" s="75"/>
      <c r="Z48" s="75"/>
      <c r="AA48" s="75"/>
      <c r="AB48" s="75"/>
      <c r="AC48" s="73"/>
      <c r="AD48" s="75"/>
      <c r="AE48" s="75"/>
      <c r="AF48" s="75"/>
      <c r="AG48" s="75"/>
      <c r="AH48" s="204"/>
      <c r="AI48" s="204"/>
      <c r="AJ48" s="204"/>
      <c r="AK48" s="204"/>
      <c r="AL48" s="204"/>
      <c r="AM48" s="204"/>
      <c r="AN48" s="204"/>
    </row>
    <row r="49" spans="1:40" s="205" customFormat="1" ht="12" customHeight="1" thickBot="1" x14ac:dyDescent="0.25">
      <c r="A49" s="200"/>
      <c r="B49" s="200"/>
      <c r="C49" s="297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04"/>
      <c r="AI49" s="204"/>
      <c r="AJ49" s="204"/>
      <c r="AK49" s="204"/>
      <c r="AL49" s="204"/>
      <c r="AM49" s="204"/>
      <c r="AN49" s="204"/>
    </row>
    <row r="50" spans="1:40" s="205" customFormat="1" ht="12" customHeight="1" x14ac:dyDescent="0.2">
      <c r="A50" s="200"/>
      <c r="B50" s="299" t="s">
        <v>1</v>
      </c>
      <c r="C50" s="299" t="s">
        <v>31</v>
      </c>
      <c r="D50" s="211" t="s">
        <v>3</v>
      </c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3"/>
      <c r="S50" s="214" t="s">
        <v>4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6"/>
      <c r="AH50" s="204"/>
      <c r="AI50" s="204"/>
      <c r="AJ50" s="204"/>
      <c r="AK50" s="204"/>
      <c r="AL50" s="204"/>
      <c r="AM50" s="204"/>
      <c r="AN50" s="204"/>
    </row>
    <row r="51" spans="1:40" s="205" customFormat="1" ht="12" customHeight="1" x14ac:dyDescent="0.2">
      <c r="A51" s="200"/>
      <c r="B51" s="300"/>
      <c r="C51" s="300"/>
      <c r="D51" s="301" t="s">
        <v>5</v>
      </c>
      <c r="E51" s="302"/>
      <c r="F51" s="302"/>
      <c r="G51" s="302"/>
      <c r="H51" s="302"/>
      <c r="I51" s="302" t="s">
        <v>6</v>
      </c>
      <c r="J51" s="302"/>
      <c r="K51" s="302"/>
      <c r="L51" s="302"/>
      <c r="M51" s="302"/>
      <c r="N51" s="302" t="s">
        <v>7</v>
      </c>
      <c r="O51" s="302"/>
      <c r="P51" s="302"/>
      <c r="Q51" s="302"/>
      <c r="R51" s="222"/>
      <c r="S51" s="301" t="s">
        <v>5</v>
      </c>
      <c r="T51" s="302"/>
      <c r="U51" s="302"/>
      <c r="V51" s="302"/>
      <c r="W51" s="302"/>
      <c r="X51" s="302" t="s">
        <v>6</v>
      </c>
      <c r="Y51" s="302"/>
      <c r="Z51" s="302"/>
      <c r="AA51" s="302"/>
      <c r="AB51" s="302"/>
      <c r="AC51" s="302" t="s">
        <v>7</v>
      </c>
      <c r="AD51" s="302"/>
      <c r="AE51" s="302"/>
      <c r="AF51" s="302"/>
      <c r="AG51" s="303"/>
      <c r="AH51" s="204"/>
      <c r="AI51" s="204"/>
      <c r="AJ51" s="204"/>
      <c r="AK51" s="204"/>
      <c r="AL51" s="204"/>
      <c r="AM51" s="204"/>
      <c r="AN51" s="204"/>
    </row>
    <row r="52" spans="1:40" s="205" customFormat="1" ht="12" customHeight="1" thickBot="1" x14ac:dyDescent="0.25">
      <c r="A52" s="200"/>
      <c r="B52" s="304"/>
      <c r="C52" s="304"/>
      <c r="D52" s="226" t="s">
        <v>8</v>
      </c>
      <c r="E52" s="227" t="s">
        <v>9</v>
      </c>
      <c r="F52" s="227" t="s">
        <v>10</v>
      </c>
      <c r="G52" s="227" t="s">
        <v>11</v>
      </c>
      <c r="H52" s="227" t="s">
        <v>12</v>
      </c>
      <c r="I52" s="227" t="s">
        <v>8</v>
      </c>
      <c r="J52" s="227" t="s">
        <v>9</v>
      </c>
      <c r="K52" s="227" t="s">
        <v>10</v>
      </c>
      <c r="L52" s="227" t="s">
        <v>11</v>
      </c>
      <c r="M52" s="227" t="s">
        <v>12</v>
      </c>
      <c r="N52" s="227" t="s">
        <v>8</v>
      </c>
      <c r="O52" s="227" t="s">
        <v>9</v>
      </c>
      <c r="P52" s="227" t="s">
        <v>10</v>
      </c>
      <c r="Q52" s="227" t="s">
        <v>11</v>
      </c>
      <c r="R52" s="228" t="s">
        <v>12</v>
      </c>
      <c r="S52" s="226" t="s">
        <v>8</v>
      </c>
      <c r="T52" s="227" t="s">
        <v>9</v>
      </c>
      <c r="U52" s="227" t="s">
        <v>10</v>
      </c>
      <c r="V52" s="227" t="s">
        <v>11</v>
      </c>
      <c r="W52" s="227" t="s">
        <v>12</v>
      </c>
      <c r="X52" s="229" t="s">
        <v>8</v>
      </c>
      <c r="Y52" s="229" t="s">
        <v>9</v>
      </c>
      <c r="Z52" s="229" t="s">
        <v>10</v>
      </c>
      <c r="AA52" s="229" t="s">
        <v>11</v>
      </c>
      <c r="AB52" s="229" t="s">
        <v>12</v>
      </c>
      <c r="AC52" s="227" t="s">
        <v>8</v>
      </c>
      <c r="AD52" s="227" t="s">
        <v>9</v>
      </c>
      <c r="AE52" s="227" t="s">
        <v>10</v>
      </c>
      <c r="AF52" s="227" t="s">
        <v>11</v>
      </c>
      <c r="AG52" s="230" t="s">
        <v>12</v>
      </c>
      <c r="AH52" s="204"/>
      <c r="AI52" s="204"/>
      <c r="AJ52" s="204"/>
      <c r="AK52" s="204"/>
      <c r="AL52" s="204"/>
      <c r="AM52" s="204"/>
      <c r="AN52" s="204"/>
    </row>
    <row r="53" spans="1:40" s="205" customFormat="1" ht="12" customHeight="1" x14ac:dyDescent="0.2">
      <c r="A53" s="200"/>
      <c r="B53" s="305" t="s">
        <v>33</v>
      </c>
      <c r="C53" s="306" t="s">
        <v>34</v>
      </c>
      <c r="D53" s="307">
        <f>I53+N53</f>
        <v>298.28232306306444</v>
      </c>
      <c r="E53" s="308">
        <f>J53+O53</f>
        <v>62.679173936453253</v>
      </c>
      <c r="F53" s="308">
        <f>K53+P53</f>
        <v>42.7163737378702</v>
      </c>
      <c r="G53" s="308">
        <f>L53+Q53</f>
        <v>214.33285939639754</v>
      </c>
      <c r="H53" s="309">
        <f>M53+R53</f>
        <v>30.180066506214757</v>
      </c>
      <c r="I53" s="307">
        <f>I65+I63</f>
        <v>149.14116159036561</v>
      </c>
      <c r="J53" s="308">
        <f>J62+J61+J60+J59</f>
        <v>31.33958696822663</v>
      </c>
      <c r="K53" s="308">
        <f>K62+K61+K60+K59+K54</f>
        <v>21.3581868689351</v>
      </c>
      <c r="L53" s="308">
        <f>L62+L61+L60+L59+L54</f>
        <v>107.16642969819877</v>
      </c>
      <c r="M53" s="309">
        <f>M62+M61+M60+M59+M54</f>
        <v>15.090034224147804</v>
      </c>
      <c r="N53" s="307">
        <f>N65+N63</f>
        <v>149.14116147269883</v>
      </c>
      <c r="O53" s="308">
        <f>O62+O61+O60+O59</f>
        <v>31.339586968226627</v>
      </c>
      <c r="P53" s="308">
        <f>P62+P61+P60+P59+P54</f>
        <v>21.3581868689351</v>
      </c>
      <c r="Q53" s="308">
        <f>Q62+Q61+Q60+Q59+Q54</f>
        <v>107.16642969819877</v>
      </c>
      <c r="R53" s="309">
        <f>R62+R61+R60+R59+R54</f>
        <v>15.090032282066955</v>
      </c>
      <c r="S53" s="307">
        <f>X53+AC53</f>
        <v>304.17872767833785</v>
      </c>
      <c r="T53" s="308">
        <f>Y53+AD53</f>
        <v>71.715402225978124</v>
      </c>
      <c r="U53" s="308">
        <f>Z53+AE53</f>
        <v>38.894976497259997</v>
      </c>
      <c r="V53" s="308">
        <f>AA53+AF53</f>
        <v>211.28423707167752</v>
      </c>
      <c r="W53" s="339">
        <f>AB53+AG53</f>
        <v>32.77905114854579</v>
      </c>
      <c r="X53" s="307">
        <f>X65+X63</f>
        <v>152.08101412732717</v>
      </c>
      <c r="Y53" s="308">
        <f>Y62+Y61+Y60+Y59</f>
        <v>33.446543416160864</v>
      </c>
      <c r="Z53" s="308">
        <f>Z62+Z61+Z60+Z59+Z54</f>
        <v>20.414740674219509</v>
      </c>
      <c r="AA53" s="308">
        <f>AA62+AA61+AA60+AA59+AA54</f>
        <v>105.64212081109218</v>
      </c>
      <c r="AB53" s="309">
        <f>AB62+AB61+AB60+AB59+AB54</f>
        <v>16.389519287985497</v>
      </c>
      <c r="AC53" s="340">
        <f>AC65+AC63</f>
        <v>152.09771355101071</v>
      </c>
      <c r="AD53" s="308">
        <f>AD62+AD61+AD60+AD59</f>
        <v>38.268858809817253</v>
      </c>
      <c r="AE53" s="308">
        <f>AE62+AE61+AE60+AE59+AE54</f>
        <v>18.480235823040488</v>
      </c>
      <c r="AF53" s="308">
        <f>AF62+AF61+AF60+AF59+AF54</f>
        <v>105.64211626058534</v>
      </c>
      <c r="AG53" s="309">
        <f>AG62+AG61+AG60+AG59+AG54</f>
        <v>16.38953186056029</v>
      </c>
      <c r="AH53" s="204"/>
      <c r="AI53" s="204"/>
      <c r="AJ53" s="204"/>
      <c r="AK53" s="204"/>
      <c r="AL53" s="204"/>
      <c r="AM53" s="204"/>
      <c r="AN53" s="204"/>
    </row>
    <row r="54" spans="1:40" s="205" customFormat="1" ht="12" customHeight="1" x14ac:dyDescent="0.2">
      <c r="A54" s="200"/>
      <c r="B54" s="310" t="s">
        <v>15</v>
      </c>
      <c r="C54" s="240" t="s">
        <v>34</v>
      </c>
      <c r="D54" s="311" t="s">
        <v>16</v>
      </c>
      <c r="E54" s="312" t="s">
        <v>16</v>
      </c>
      <c r="F54" s="313">
        <f>K54+P54</f>
        <v>0</v>
      </c>
      <c r="G54" s="313">
        <f>L54+Q54</f>
        <v>22.267074305225893</v>
      </c>
      <c r="H54" s="314">
        <f>M54+R54</f>
        <v>29.359018812106818</v>
      </c>
      <c r="I54" s="311" t="s">
        <v>16</v>
      </c>
      <c r="J54" s="312" t="s">
        <v>16</v>
      </c>
      <c r="K54" s="313">
        <f>K56</f>
        <v>0</v>
      </c>
      <c r="L54" s="313">
        <f>L56+L57</f>
        <v>11.133537152612947</v>
      </c>
      <c r="M54" s="314">
        <f>M58</f>
        <v>14.679509406053409</v>
      </c>
      <c r="N54" s="311" t="s">
        <v>16</v>
      </c>
      <c r="O54" s="312" t="s">
        <v>16</v>
      </c>
      <c r="P54" s="313">
        <f>P56</f>
        <v>0</v>
      </c>
      <c r="Q54" s="313">
        <f>Q56+Q57</f>
        <v>11.133537152612947</v>
      </c>
      <c r="R54" s="314">
        <f>R58</f>
        <v>14.679509406053409</v>
      </c>
      <c r="S54" s="311" t="s">
        <v>16</v>
      </c>
      <c r="T54" s="312" t="s">
        <v>16</v>
      </c>
      <c r="U54" s="313">
        <f>Z54+AE54</f>
        <v>0</v>
      </c>
      <c r="V54" s="313">
        <f>AA54+AF54</f>
        <v>21.175968835588371</v>
      </c>
      <c r="W54" s="341">
        <f>AB54+AG54</f>
        <v>29.318951813936508</v>
      </c>
      <c r="X54" s="311" t="s">
        <v>16</v>
      </c>
      <c r="Y54" s="312" t="s">
        <v>16</v>
      </c>
      <c r="Z54" s="313">
        <f>Z56</f>
        <v>0</v>
      </c>
      <c r="AA54" s="313">
        <f>AA56+AA57</f>
        <v>9.1524226239424209</v>
      </c>
      <c r="AB54" s="314">
        <f>AB58</f>
        <v>14.659480572845679</v>
      </c>
      <c r="AC54" s="342" t="s">
        <v>16</v>
      </c>
      <c r="AD54" s="312" t="s">
        <v>16</v>
      </c>
      <c r="AE54" s="313">
        <f>AE56</f>
        <v>0</v>
      </c>
      <c r="AF54" s="313">
        <f>AF56+AF57</f>
        <v>12.02354621164595</v>
      </c>
      <c r="AG54" s="314">
        <f>AG58</f>
        <v>14.659471241090829</v>
      </c>
      <c r="AH54" s="204"/>
      <c r="AI54" s="204"/>
      <c r="AJ54" s="204"/>
      <c r="AK54" s="204"/>
      <c r="AL54" s="204"/>
      <c r="AM54" s="204"/>
      <c r="AN54" s="204"/>
    </row>
    <row r="55" spans="1:40" s="205" customFormat="1" ht="12" customHeight="1" x14ac:dyDescent="0.2">
      <c r="A55" s="200"/>
      <c r="B55" s="310" t="s">
        <v>17</v>
      </c>
      <c r="C55" s="240" t="s">
        <v>34</v>
      </c>
      <c r="D55" s="311" t="s">
        <v>16</v>
      </c>
      <c r="E55" s="312" t="s">
        <v>16</v>
      </c>
      <c r="F55" s="312" t="s">
        <v>16</v>
      </c>
      <c r="G55" s="312" t="s">
        <v>16</v>
      </c>
      <c r="H55" s="315" t="s">
        <v>16</v>
      </c>
      <c r="I55" s="311" t="s">
        <v>16</v>
      </c>
      <c r="J55" s="312" t="s">
        <v>16</v>
      </c>
      <c r="K55" s="312" t="s">
        <v>16</v>
      </c>
      <c r="L55" s="312" t="s">
        <v>16</v>
      </c>
      <c r="M55" s="315" t="s">
        <v>16</v>
      </c>
      <c r="N55" s="311" t="s">
        <v>16</v>
      </c>
      <c r="O55" s="312" t="s">
        <v>16</v>
      </c>
      <c r="P55" s="312" t="s">
        <v>16</v>
      </c>
      <c r="Q55" s="312" t="s">
        <v>16</v>
      </c>
      <c r="R55" s="315" t="s">
        <v>16</v>
      </c>
      <c r="S55" s="311" t="s">
        <v>16</v>
      </c>
      <c r="T55" s="312" t="s">
        <v>16</v>
      </c>
      <c r="U55" s="312" t="s">
        <v>16</v>
      </c>
      <c r="V55" s="312" t="s">
        <v>16</v>
      </c>
      <c r="W55" s="343" t="s">
        <v>16</v>
      </c>
      <c r="X55" s="311" t="s">
        <v>16</v>
      </c>
      <c r="Y55" s="312" t="s">
        <v>16</v>
      </c>
      <c r="Z55" s="312" t="s">
        <v>16</v>
      </c>
      <c r="AA55" s="312" t="s">
        <v>16</v>
      </c>
      <c r="AB55" s="315" t="s">
        <v>16</v>
      </c>
      <c r="AC55" s="342" t="s">
        <v>16</v>
      </c>
      <c r="AD55" s="312" t="s">
        <v>16</v>
      </c>
      <c r="AE55" s="312" t="s">
        <v>16</v>
      </c>
      <c r="AF55" s="312" t="s">
        <v>16</v>
      </c>
      <c r="AG55" s="315" t="s">
        <v>16</v>
      </c>
      <c r="AH55" s="204"/>
      <c r="AI55" s="204"/>
      <c r="AJ55" s="204"/>
      <c r="AK55" s="204"/>
      <c r="AL55" s="204"/>
      <c r="AM55" s="204"/>
      <c r="AN55" s="204"/>
    </row>
    <row r="56" spans="1:40" s="205" customFormat="1" ht="12" customHeight="1" x14ac:dyDescent="0.2">
      <c r="A56" s="200"/>
      <c r="B56" s="316" t="s">
        <v>9</v>
      </c>
      <c r="C56" s="251" t="s">
        <v>34</v>
      </c>
      <c r="D56" s="95" t="s">
        <v>16</v>
      </c>
      <c r="E56" s="96" t="s">
        <v>16</v>
      </c>
      <c r="F56" s="313">
        <f>K56+P56</f>
        <v>0</v>
      </c>
      <c r="G56" s="313">
        <f>L56+Q56</f>
        <v>10.389129549530992</v>
      </c>
      <c r="H56" s="317" t="s">
        <v>16</v>
      </c>
      <c r="I56" s="95" t="s">
        <v>16</v>
      </c>
      <c r="J56" s="96" t="s">
        <v>16</v>
      </c>
      <c r="K56" s="313">
        <f>K9-K33</f>
        <v>0</v>
      </c>
      <c r="L56" s="313">
        <f>L9-L33</f>
        <v>5.1945647747654959</v>
      </c>
      <c r="M56" s="315" t="s">
        <v>16</v>
      </c>
      <c r="N56" s="95" t="s">
        <v>16</v>
      </c>
      <c r="O56" s="96" t="s">
        <v>16</v>
      </c>
      <c r="P56" s="313">
        <f>P9-P33</f>
        <v>0</v>
      </c>
      <c r="Q56" s="313">
        <f>Q9-Q33</f>
        <v>5.1945647747654959</v>
      </c>
      <c r="R56" s="315" t="s">
        <v>16</v>
      </c>
      <c r="S56" s="95" t="s">
        <v>16</v>
      </c>
      <c r="T56" s="96" t="s">
        <v>16</v>
      </c>
      <c r="U56" s="313">
        <f>Z56+AE56</f>
        <v>0</v>
      </c>
      <c r="V56" s="313">
        <f>AA56+AF56</f>
        <v>15.746528411908223</v>
      </c>
      <c r="W56" s="344" t="s">
        <v>16</v>
      </c>
      <c r="X56" s="95" t="s">
        <v>16</v>
      </c>
      <c r="Y56" s="96" t="s">
        <v>16</v>
      </c>
      <c r="Z56" s="313">
        <f>Z9-Z33</f>
        <v>0</v>
      </c>
      <c r="AA56" s="313">
        <f>AA9-AA33</f>
        <v>5.5009165034140599</v>
      </c>
      <c r="AB56" s="315" t="s">
        <v>16</v>
      </c>
      <c r="AC56" s="133" t="s">
        <v>16</v>
      </c>
      <c r="AD56" s="96" t="s">
        <v>16</v>
      </c>
      <c r="AE56" s="313">
        <f>AE9-AE33</f>
        <v>0</v>
      </c>
      <c r="AF56" s="313">
        <f>AF9-AF33</f>
        <v>10.245611908494162</v>
      </c>
      <c r="AG56" s="315" t="s">
        <v>16</v>
      </c>
      <c r="AH56" s="204"/>
      <c r="AI56" s="204"/>
      <c r="AJ56" s="204"/>
      <c r="AK56" s="204"/>
      <c r="AL56" s="204"/>
      <c r="AM56" s="204"/>
      <c r="AN56" s="204"/>
    </row>
    <row r="57" spans="1:40" s="205" customFormat="1" ht="12" customHeight="1" x14ac:dyDescent="0.2">
      <c r="A57" s="200"/>
      <c r="B57" s="316" t="s">
        <v>10</v>
      </c>
      <c r="C57" s="251" t="s">
        <v>34</v>
      </c>
      <c r="D57" s="95" t="s">
        <v>16</v>
      </c>
      <c r="E57" s="96" t="s">
        <v>16</v>
      </c>
      <c r="F57" s="312" t="s">
        <v>16</v>
      </c>
      <c r="G57" s="313">
        <f>L57+Q57</f>
        <v>11.877944755694902</v>
      </c>
      <c r="H57" s="317" t="s">
        <v>16</v>
      </c>
      <c r="I57" s="95" t="s">
        <v>16</v>
      </c>
      <c r="J57" s="96" t="s">
        <v>16</v>
      </c>
      <c r="K57" s="96" t="s">
        <v>16</v>
      </c>
      <c r="L57" s="313">
        <f>L10-L34</f>
        <v>5.9389723778474508</v>
      </c>
      <c r="M57" s="315" t="s">
        <v>16</v>
      </c>
      <c r="N57" s="95" t="s">
        <v>16</v>
      </c>
      <c r="O57" s="96" t="s">
        <v>16</v>
      </c>
      <c r="P57" s="96" t="s">
        <v>16</v>
      </c>
      <c r="Q57" s="313">
        <f>Q10-Q34</f>
        <v>5.9389723778474508</v>
      </c>
      <c r="R57" s="315" t="s">
        <v>16</v>
      </c>
      <c r="S57" s="95" t="s">
        <v>16</v>
      </c>
      <c r="T57" s="96" t="s">
        <v>16</v>
      </c>
      <c r="U57" s="312" t="s">
        <v>16</v>
      </c>
      <c r="V57" s="313">
        <f>AA57+AF57</f>
        <v>5.4294404236801492</v>
      </c>
      <c r="W57" s="344" t="s">
        <v>16</v>
      </c>
      <c r="X57" s="95" t="s">
        <v>16</v>
      </c>
      <c r="Y57" s="96" t="s">
        <v>16</v>
      </c>
      <c r="Z57" s="96" t="s">
        <v>16</v>
      </c>
      <c r="AA57" s="313">
        <f>AA10-AA34</f>
        <v>3.6515061205283619</v>
      </c>
      <c r="AB57" s="315" t="s">
        <v>16</v>
      </c>
      <c r="AC57" s="133" t="s">
        <v>16</v>
      </c>
      <c r="AD57" s="96" t="s">
        <v>16</v>
      </c>
      <c r="AE57" s="96" t="s">
        <v>16</v>
      </c>
      <c r="AF57" s="313">
        <f>AF10-AF34</f>
        <v>1.7779343031517876</v>
      </c>
      <c r="AG57" s="315" t="s">
        <v>16</v>
      </c>
      <c r="AH57" s="204"/>
      <c r="AI57" s="204"/>
      <c r="AJ57" s="204"/>
      <c r="AK57" s="204"/>
      <c r="AL57" s="204"/>
      <c r="AM57" s="204"/>
      <c r="AN57" s="204"/>
    </row>
    <row r="58" spans="1:40" s="205" customFormat="1" ht="12" customHeight="1" x14ac:dyDescent="0.2">
      <c r="A58" s="200"/>
      <c r="B58" s="316" t="s">
        <v>11</v>
      </c>
      <c r="C58" s="251" t="s">
        <v>34</v>
      </c>
      <c r="D58" s="95" t="s">
        <v>16</v>
      </c>
      <c r="E58" s="96" t="s">
        <v>16</v>
      </c>
      <c r="F58" s="96" t="s">
        <v>16</v>
      </c>
      <c r="G58" s="96" t="s">
        <v>16</v>
      </c>
      <c r="H58" s="314">
        <f t="shared" ref="H58:H63" si="24">M58+R58</f>
        <v>29.359018812106818</v>
      </c>
      <c r="I58" s="95" t="s">
        <v>16</v>
      </c>
      <c r="J58" s="96" t="s">
        <v>16</v>
      </c>
      <c r="K58" s="96" t="s">
        <v>16</v>
      </c>
      <c r="L58" s="96" t="s">
        <v>16</v>
      </c>
      <c r="M58" s="314">
        <f>M11-M35</f>
        <v>14.679509406053409</v>
      </c>
      <c r="N58" s="95" t="s">
        <v>16</v>
      </c>
      <c r="O58" s="96" t="s">
        <v>16</v>
      </c>
      <c r="P58" s="96" t="s">
        <v>16</v>
      </c>
      <c r="Q58" s="96" t="s">
        <v>16</v>
      </c>
      <c r="R58" s="314">
        <f>R11-R35</f>
        <v>14.679509406053409</v>
      </c>
      <c r="S58" s="95" t="s">
        <v>16</v>
      </c>
      <c r="T58" s="96" t="s">
        <v>16</v>
      </c>
      <c r="U58" s="96" t="s">
        <v>16</v>
      </c>
      <c r="V58" s="96" t="s">
        <v>16</v>
      </c>
      <c r="W58" s="341">
        <f t="shared" ref="W58:W63" si="25">AB58+AG58</f>
        <v>29.318951813936508</v>
      </c>
      <c r="X58" s="95" t="s">
        <v>16</v>
      </c>
      <c r="Y58" s="96" t="s">
        <v>16</v>
      </c>
      <c r="Z58" s="96" t="s">
        <v>16</v>
      </c>
      <c r="AA58" s="96" t="s">
        <v>16</v>
      </c>
      <c r="AB58" s="314">
        <f>AB11-AB35</f>
        <v>14.659480572845679</v>
      </c>
      <c r="AC58" s="133" t="s">
        <v>16</v>
      </c>
      <c r="AD58" s="96" t="s">
        <v>16</v>
      </c>
      <c r="AE58" s="96" t="s">
        <v>16</v>
      </c>
      <c r="AF58" s="96" t="s">
        <v>16</v>
      </c>
      <c r="AG58" s="314">
        <f>AG11-AG35</f>
        <v>14.659471241090829</v>
      </c>
      <c r="AH58" s="204"/>
      <c r="AI58" s="204"/>
      <c r="AJ58" s="204"/>
      <c r="AK58" s="204"/>
      <c r="AL58" s="204"/>
      <c r="AM58" s="204"/>
      <c r="AN58" s="204"/>
    </row>
    <row r="59" spans="1:40" s="205" customFormat="1" ht="12" customHeight="1" x14ac:dyDescent="0.2">
      <c r="A59" s="200"/>
      <c r="B59" s="316" t="s">
        <v>18</v>
      </c>
      <c r="C59" s="251" t="s">
        <v>34</v>
      </c>
      <c r="D59" s="318">
        <f t="shared" ref="D59:G63" si="26">I59+N59</f>
        <v>160.24698052040273</v>
      </c>
      <c r="E59" s="313">
        <f t="shared" si="26"/>
        <v>0</v>
      </c>
      <c r="F59" s="313">
        <f t="shared" si="26"/>
        <v>0</v>
      </c>
      <c r="G59" s="313">
        <f t="shared" si="26"/>
        <v>160.24698052040273</v>
      </c>
      <c r="H59" s="314">
        <f t="shared" si="24"/>
        <v>0</v>
      </c>
      <c r="I59" s="318">
        <f>SUM(J59:M59)</f>
        <v>80.123490260201365</v>
      </c>
      <c r="J59" s="313">
        <f t="shared" ref="J59:L62" si="27">J12-J36</f>
        <v>0</v>
      </c>
      <c r="K59" s="313">
        <f t="shared" si="27"/>
        <v>0</v>
      </c>
      <c r="L59" s="313">
        <f t="shared" si="27"/>
        <v>80.123490260201365</v>
      </c>
      <c r="M59" s="314">
        <f>M12-M36</f>
        <v>0</v>
      </c>
      <c r="N59" s="318">
        <f>SUM(O59:R59)</f>
        <v>80.123490260201365</v>
      </c>
      <c r="O59" s="313">
        <f t="shared" ref="O59:Q62" si="28">O12-O36</f>
        <v>0</v>
      </c>
      <c r="P59" s="313">
        <f t="shared" si="28"/>
        <v>0</v>
      </c>
      <c r="Q59" s="313">
        <f t="shared" si="28"/>
        <v>80.123490260201365</v>
      </c>
      <c r="R59" s="314">
        <f>R12-R36</f>
        <v>0</v>
      </c>
      <c r="S59" s="318">
        <f t="shared" ref="S59:V63" si="29">X59+AC59</f>
        <v>156.12507585646523</v>
      </c>
      <c r="T59" s="313">
        <f t="shared" si="29"/>
        <v>0</v>
      </c>
      <c r="U59" s="313">
        <f t="shared" si="29"/>
        <v>0</v>
      </c>
      <c r="V59" s="313">
        <f t="shared" si="29"/>
        <v>156.12507585646523</v>
      </c>
      <c r="W59" s="341">
        <f t="shared" si="25"/>
        <v>0</v>
      </c>
      <c r="X59" s="318">
        <f>SUM(Y59:AB59)</f>
        <v>79.614451448709772</v>
      </c>
      <c r="Y59" s="313">
        <f t="shared" ref="Y59:AA62" si="30">Y12-Y36</f>
        <v>0</v>
      </c>
      <c r="Z59" s="313">
        <f t="shared" si="30"/>
        <v>0</v>
      </c>
      <c r="AA59" s="313">
        <f t="shared" si="30"/>
        <v>79.614451448709772</v>
      </c>
      <c r="AB59" s="314">
        <f>AB12-AB36</f>
        <v>0</v>
      </c>
      <c r="AC59" s="345">
        <f>SUM(AD59:AG59)</f>
        <v>76.510624407755472</v>
      </c>
      <c r="AD59" s="313">
        <f t="shared" ref="AD59:AF62" si="31">AD12-AD36</f>
        <v>0</v>
      </c>
      <c r="AE59" s="313">
        <f t="shared" si="31"/>
        <v>0</v>
      </c>
      <c r="AF59" s="313">
        <f t="shared" si="31"/>
        <v>76.510624407755472</v>
      </c>
      <c r="AG59" s="314">
        <f>AG12-AG36</f>
        <v>0</v>
      </c>
      <c r="AH59" s="204"/>
      <c r="AI59" s="204"/>
      <c r="AJ59" s="204"/>
      <c r="AK59" s="204"/>
      <c r="AL59" s="204"/>
      <c r="AM59" s="204"/>
      <c r="AN59" s="204"/>
    </row>
    <row r="60" spans="1:40" s="205" customFormat="1" ht="12" customHeight="1" x14ac:dyDescent="0.2">
      <c r="A60" s="200"/>
      <c r="B60" s="316" t="s">
        <v>19</v>
      </c>
      <c r="C60" s="251" t="s">
        <v>34</v>
      </c>
      <c r="D60" s="318">
        <f t="shared" si="26"/>
        <v>7.957772025820935</v>
      </c>
      <c r="E60" s="313">
        <f t="shared" si="26"/>
        <v>7.957772025820935</v>
      </c>
      <c r="F60" s="313">
        <f t="shared" si="26"/>
        <v>0</v>
      </c>
      <c r="G60" s="313">
        <f t="shared" si="26"/>
        <v>0</v>
      </c>
      <c r="H60" s="314">
        <f t="shared" si="24"/>
        <v>0</v>
      </c>
      <c r="I60" s="318">
        <f>SUM(J60:M60)</f>
        <v>3.9788860129104684</v>
      </c>
      <c r="J60" s="313">
        <f t="shared" si="27"/>
        <v>3.9788860129104684</v>
      </c>
      <c r="K60" s="313">
        <f t="shared" si="27"/>
        <v>0</v>
      </c>
      <c r="L60" s="313">
        <f t="shared" si="27"/>
        <v>0</v>
      </c>
      <c r="M60" s="314">
        <f>M13-M37</f>
        <v>0</v>
      </c>
      <c r="N60" s="318">
        <f>SUM(O60:R60)</f>
        <v>3.9788860129104666</v>
      </c>
      <c r="O60" s="313">
        <f t="shared" si="28"/>
        <v>3.9788860129104666</v>
      </c>
      <c r="P60" s="313">
        <f t="shared" si="28"/>
        <v>0</v>
      </c>
      <c r="Q60" s="313">
        <f t="shared" si="28"/>
        <v>0</v>
      </c>
      <c r="R60" s="314">
        <f>R13-R37</f>
        <v>0</v>
      </c>
      <c r="S60" s="318">
        <f t="shared" si="29"/>
        <v>8.6040778680370593</v>
      </c>
      <c r="T60" s="313">
        <f t="shared" si="29"/>
        <v>8.6040778680370593</v>
      </c>
      <c r="U60" s="313">
        <f t="shared" si="29"/>
        <v>0</v>
      </c>
      <c r="V60" s="313">
        <f t="shared" si="29"/>
        <v>0</v>
      </c>
      <c r="W60" s="341">
        <f t="shared" si="25"/>
        <v>0</v>
      </c>
      <c r="X60" s="318">
        <f>SUM(Y60:AB60)</f>
        <v>4.1091354712847146</v>
      </c>
      <c r="Y60" s="313">
        <f t="shared" si="30"/>
        <v>4.1091354712847146</v>
      </c>
      <c r="Z60" s="313">
        <f t="shared" si="30"/>
        <v>0</v>
      </c>
      <c r="AA60" s="313">
        <f t="shared" si="30"/>
        <v>0</v>
      </c>
      <c r="AB60" s="314">
        <f>AB13-AB37</f>
        <v>0</v>
      </c>
      <c r="AC60" s="345">
        <f>SUM(AD60:AG60)</f>
        <v>4.4949423967523447</v>
      </c>
      <c r="AD60" s="313">
        <f t="shared" si="31"/>
        <v>4.4949423967523447</v>
      </c>
      <c r="AE60" s="313">
        <f t="shared" si="31"/>
        <v>0</v>
      </c>
      <c r="AF60" s="313">
        <f t="shared" si="31"/>
        <v>0</v>
      </c>
      <c r="AG60" s="314">
        <f>AG13-AG37</f>
        <v>0</v>
      </c>
      <c r="AH60" s="204"/>
      <c r="AI60" s="204"/>
      <c r="AJ60" s="204"/>
      <c r="AK60" s="204"/>
      <c r="AL60" s="204"/>
      <c r="AM60" s="204"/>
      <c r="AN60" s="204"/>
    </row>
    <row r="61" spans="1:40" s="205" customFormat="1" ht="12" customHeight="1" x14ac:dyDescent="0.2">
      <c r="A61" s="200"/>
      <c r="B61" s="316" t="s">
        <v>20</v>
      </c>
      <c r="C61" s="251" t="s">
        <v>34</v>
      </c>
      <c r="D61" s="318">
        <f t="shared" si="26"/>
        <v>129.89135715855298</v>
      </c>
      <c r="E61" s="313">
        <f t="shared" si="26"/>
        <v>54.721401910632324</v>
      </c>
      <c r="F61" s="313">
        <f t="shared" si="26"/>
        <v>42.7163737378702</v>
      </c>
      <c r="G61" s="313">
        <f t="shared" si="26"/>
        <v>31.632533815942516</v>
      </c>
      <c r="H61" s="314">
        <f t="shared" si="24"/>
        <v>0.82104769410793987</v>
      </c>
      <c r="I61" s="318">
        <f>SUM(J61:M61)</f>
        <v>64.94567955031691</v>
      </c>
      <c r="J61" s="313">
        <f t="shared" si="27"/>
        <v>27.360700955316162</v>
      </c>
      <c r="K61" s="313">
        <f t="shared" si="27"/>
        <v>21.3581868689351</v>
      </c>
      <c r="L61" s="313">
        <f t="shared" si="27"/>
        <v>15.816266907971258</v>
      </c>
      <c r="M61" s="314">
        <f>M14-M38</f>
        <v>0.41052481809439417</v>
      </c>
      <c r="N61" s="318">
        <f>SUM(O61:R61)</f>
        <v>64.945677608236068</v>
      </c>
      <c r="O61" s="313">
        <f t="shared" si="28"/>
        <v>27.360700955316162</v>
      </c>
      <c r="P61" s="313">
        <f t="shared" si="28"/>
        <v>21.3581868689351</v>
      </c>
      <c r="Q61" s="313">
        <f t="shared" si="28"/>
        <v>15.816266907971258</v>
      </c>
      <c r="R61" s="314">
        <f>R14-R38</f>
        <v>0.41052287601354576</v>
      </c>
      <c r="S61" s="318">
        <f t="shared" si="29"/>
        <v>139.28077607880124</v>
      </c>
      <c r="T61" s="313">
        <f t="shared" si="29"/>
        <v>63.111324357941058</v>
      </c>
      <c r="U61" s="313">
        <f t="shared" si="29"/>
        <v>38.894976497259997</v>
      </c>
      <c r="V61" s="313">
        <f t="shared" si="29"/>
        <v>33.814375888990924</v>
      </c>
      <c r="W61" s="341">
        <f t="shared" si="25"/>
        <v>3.4600993346092794</v>
      </c>
      <c r="X61" s="318">
        <f>SUM(Y61:AB61)</f>
        <v>68.273629386939973</v>
      </c>
      <c r="Y61" s="313">
        <f t="shared" si="30"/>
        <v>29.337407944876148</v>
      </c>
      <c r="Z61" s="313">
        <f t="shared" si="30"/>
        <v>20.414740674219509</v>
      </c>
      <c r="AA61" s="313">
        <f t="shared" si="30"/>
        <v>16.791442052704511</v>
      </c>
      <c r="AB61" s="314">
        <f>AB14-AB38</f>
        <v>1.7300387151398182</v>
      </c>
      <c r="AC61" s="345">
        <f>SUM(AD61:AG61)</f>
        <v>71.007146691861266</v>
      </c>
      <c r="AD61" s="313">
        <f t="shared" si="31"/>
        <v>33.77391641306491</v>
      </c>
      <c r="AE61" s="313">
        <f t="shared" si="31"/>
        <v>18.480235823040488</v>
      </c>
      <c r="AF61" s="313">
        <f t="shared" si="31"/>
        <v>17.022933836286413</v>
      </c>
      <c r="AG61" s="314">
        <f>AG14-AG38</f>
        <v>1.7300606194694614</v>
      </c>
      <c r="AH61" s="204"/>
      <c r="AI61" s="204"/>
      <c r="AJ61" s="204"/>
      <c r="AK61" s="204"/>
      <c r="AL61" s="204"/>
      <c r="AM61" s="204"/>
      <c r="AN61" s="204"/>
    </row>
    <row r="62" spans="1:40" s="205" customFormat="1" ht="12" customHeight="1" x14ac:dyDescent="0.2">
      <c r="A62" s="200"/>
      <c r="B62" s="250" t="s">
        <v>35</v>
      </c>
      <c r="C62" s="251" t="s">
        <v>34</v>
      </c>
      <c r="D62" s="318">
        <f t="shared" si="26"/>
        <v>0.18627075482640598</v>
      </c>
      <c r="E62" s="313">
        <f t="shared" si="26"/>
        <v>0</v>
      </c>
      <c r="F62" s="313">
        <f t="shared" si="26"/>
        <v>0</v>
      </c>
      <c r="G62" s="313">
        <f t="shared" si="26"/>
        <v>0.18627075482640598</v>
      </c>
      <c r="H62" s="314">
        <f t="shared" si="24"/>
        <v>0</v>
      </c>
      <c r="I62" s="318">
        <f>SUM(J62:M62)</f>
        <v>9.3135377413202991E-2</v>
      </c>
      <c r="J62" s="313">
        <f t="shared" si="27"/>
        <v>0</v>
      </c>
      <c r="K62" s="313">
        <f t="shared" si="27"/>
        <v>0</v>
      </c>
      <c r="L62" s="313">
        <f t="shared" si="27"/>
        <v>9.3135377413202991E-2</v>
      </c>
      <c r="M62" s="313">
        <f>M15-M39</f>
        <v>0</v>
      </c>
      <c r="N62" s="318">
        <f>SUM(O62:R62)</f>
        <v>9.3135377413202991E-2</v>
      </c>
      <c r="O62" s="313">
        <f t="shared" si="28"/>
        <v>0</v>
      </c>
      <c r="P62" s="313">
        <f t="shared" si="28"/>
        <v>0</v>
      </c>
      <c r="Q62" s="313">
        <f t="shared" si="28"/>
        <v>9.3135377413202991E-2</v>
      </c>
      <c r="R62" s="314">
        <f>R15-R39</f>
        <v>0</v>
      </c>
      <c r="S62" s="318">
        <f t="shared" si="29"/>
        <v>0.16881649063299006</v>
      </c>
      <c r="T62" s="313">
        <f t="shared" si="29"/>
        <v>0</v>
      </c>
      <c r="U62" s="313">
        <f t="shared" si="29"/>
        <v>0</v>
      </c>
      <c r="V62" s="313">
        <f t="shared" si="29"/>
        <v>0.16881649063299006</v>
      </c>
      <c r="W62" s="341">
        <f t="shared" si="25"/>
        <v>0</v>
      </c>
      <c r="X62" s="318">
        <f>SUM(Y62:AB62)</f>
        <v>8.3804685735483983E-2</v>
      </c>
      <c r="Y62" s="313">
        <f t="shared" si="30"/>
        <v>0</v>
      </c>
      <c r="Z62" s="313">
        <f t="shared" si="30"/>
        <v>0</v>
      </c>
      <c r="AA62" s="313">
        <f t="shared" si="30"/>
        <v>8.3804685735483983E-2</v>
      </c>
      <c r="AB62" s="314">
        <f>AB15-AB39</f>
        <v>0</v>
      </c>
      <c r="AC62" s="345">
        <f>SUM(AD62:AG62)</f>
        <v>8.501180489750608E-2</v>
      </c>
      <c r="AD62" s="313">
        <f t="shared" si="31"/>
        <v>0</v>
      </c>
      <c r="AE62" s="313">
        <f t="shared" si="31"/>
        <v>0</v>
      </c>
      <c r="AF62" s="313">
        <f t="shared" si="31"/>
        <v>8.501180489750608E-2</v>
      </c>
      <c r="AG62" s="314">
        <f>AG15-AG39</f>
        <v>0</v>
      </c>
      <c r="AH62" s="204"/>
      <c r="AI62" s="204"/>
      <c r="AJ62" s="204"/>
      <c r="AK62" s="204"/>
      <c r="AL62" s="204"/>
      <c r="AM62" s="204"/>
      <c r="AN62" s="204"/>
    </row>
    <row r="63" spans="1:40" s="205" customFormat="1" ht="12" customHeight="1" x14ac:dyDescent="0.2">
      <c r="A63" s="200"/>
      <c r="B63" s="319" t="s">
        <v>22</v>
      </c>
      <c r="C63" s="306" t="s">
        <v>34</v>
      </c>
      <c r="D63" s="320">
        <f t="shared" si="26"/>
        <v>9.0656310630644583</v>
      </c>
      <c r="E63" s="321">
        <f t="shared" si="26"/>
        <v>1.0088839836811516</v>
      </c>
      <c r="F63" s="321">
        <f t="shared" si="26"/>
        <v>1.3454803399954356</v>
      </c>
      <c r="G63" s="321">
        <f t="shared" si="26"/>
        <v>4.8827168699093315</v>
      </c>
      <c r="H63" s="322">
        <f t="shared" si="24"/>
        <v>1.8285498694785396</v>
      </c>
      <c r="I63" s="320">
        <f>SUM(J63:M63)</f>
        <v>4.532815590365626</v>
      </c>
      <c r="J63" s="321">
        <f>J53*J64/100</f>
        <v>0.50444199184057581</v>
      </c>
      <c r="K63" s="321">
        <f>K53*K64/100</f>
        <v>0.6727401699977178</v>
      </c>
      <c r="L63" s="321">
        <f>L53*L64/100</f>
        <v>2.4413584349546658</v>
      </c>
      <c r="M63" s="322">
        <f>M53*M64/100</f>
        <v>0.91427499357266706</v>
      </c>
      <c r="N63" s="320">
        <f>SUM(O63:R63)</f>
        <v>4.5328154726988323</v>
      </c>
      <c r="O63" s="321">
        <f>O53*O64/100</f>
        <v>0.5044419918405757</v>
      </c>
      <c r="P63" s="321">
        <f>P53*P64/100</f>
        <v>0.6727401699977178</v>
      </c>
      <c r="Q63" s="321">
        <f>Q53*Q64/100</f>
        <v>2.4413584349546658</v>
      </c>
      <c r="R63" s="322">
        <f>R53*R64/100</f>
        <v>0.91427487590587264</v>
      </c>
      <c r="S63" s="320">
        <f t="shared" si="29"/>
        <v>9.1787276783379159</v>
      </c>
      <c r="T63" s="321">
        <f t="shared" si="29"/>
        <v>1.1543311142293438</v>
      </c>
      <c r="U63" s="321">
        <f t="shared" si="29"/>
        <v>1.2251139697106952</v>
      </c>
      <c r="V63" s="321">
        <f t="shared" si="29"/>
        <v>4.8132662047298851</v>
      </c>
      <c r="W63" s="346">
        <f t="shared" si="25"/>
        <v>1.9860163896679914</v>
      </c>
      <c r="X63" s="318">
        <f>SUM(Y63:AB63)</f>
        <v>4.5810141273271814</v>
      </c>
      <c r="Y63" s="321">
        <f>Y53*Y64/100</f>
        <v>0.5383555628265253</v>
      </c>
      <c r="Z63" s="321">
        <f>Z53*Z64/100</f>
        <v>0.64302350175656608</v>
      </c>
      <c r="AA63" s="321">
        <f>AA53*AA64/100</f>
        <v>2.4066331541974906</v>
      </c>
      <c r="AB63" s="322">
        <f>AB53*AB64/100</f>
        <v>0.9930019085465992</v>
      </c>
      <c r="AC63" s="347">
        <f>SUM(AD63:AG63)</f>
        <v>4.5977135510107345</v>
      </c>
      <c r="AD63" s="321">
        <f>AD53*AD64/100</f>
        <v>0.61597555140281846</v>
      </c>
      <c r="AE63" s="321">
        <f>AE53*AE64/100</f>
        <v>0.58209046795412922</v>
      </c>
      <c r="AF63" s="321">
        <f>AF53*AF64/100</f>
        <v>2.4066330505323945</v>
      </c>
      <c r="AG63" s="322">
        <f>AG53*AG64/100</f>
        <v>0.99301448112139223</v>
      </c>
      <c r="AH63" s="204"/>
      <c r="AI63" s="204"/>
      <c r="AJ63" s="204"/>
      <c r="AK63" s="204"/>
      <c r="AL63" s="204"/>
      <c r="AM63" s="204"/>
      <c r="AN63" s="204"/>
    </row>
    <row r="64" spans="1:40" s="205" customFormat="1" ht="12" customHeight="1" thickBot="1" x14ac:dyDescent="0.25">
      <c r="A64" s="200"/>
      <c r="B64" s="323"/>
      <c r="C64" s="240" t="s">
        <v>23</v>
      </c>
      <c r="D64" s="324">
        <f t="shared" ref="D64:I64" si="32">IFERROR(D63/D53*100,0)</f>
        <v>3.0392786840230399</v>
      </c>
      <c r="E64" s="325">
        <f t="shared" si="32"/>
        <v>1.6095999999999999</v>
      </c>
      <c r="F64" s="325">
        <f t="shared" si="32"/>
        <v>3.1497999999999999</v>
      </c>
      <c r="G64" s="325">
        <f t="shared" si="32"/>
        <v>2.2780999999999993</v>
      </c>
      <c r="H64" s="326">
        <f t="shared" si="32"/>
        <v>6.0587999999999997</v>
      </c>
      <c r="I64" s="324">
        <f t="shared" si="32"/>
        <v>3.0392787222722299</v>
      </c>
      <c r="J64" s="327">
        <f>IF(J22=0,0,J17)</f>
        <v>1.6095999999999999</v>
      </c>
      <c r="K64" s="327">
        <f>IF(K22=0,0,K17)</f>
        <v>3.1497999999999999</v>
      </c>
      <c r="L64" s="327">
        <f>IF(L22=0,0,L17)</f>
        <v>2.2780999999999998</v>
      </c>
      <c r="M64" s="328">
        <f>IF(M22=0,0,M17)</f>
        <v>6.0587999999999997</v>
      </c>
      <c r="N64" s="324">
        <f>IFERROR(N63/N53*100,0)</f>
        <v>3.0392786457738503</v>
      </c>
      <c r="O64" s="327">
        <f>IF(O22=0,0,O17)</f>
        <v>1.6095999999999999</v>
      </c>
      <c r="P64" s="327">
        <f>IF(P22=0,0,P17)</f>
        <v>3.1497999999999999</v>
      </c>
      <c r="Q64" s="327">
        <f>IF(Q22=0,0,Q17)</f>
        <v>2.2780999999999998</v>
      </c>
      <c r="R64" s="328">
        <f>IF(R22=0,0,R17)</f>
        <v>6.0587999999999997</v>
      </c>
      <c r="S64" s="324">
        <f t="shared" ref="S64:X64" si="33">IFERROR(S63/S53*100,0)</f>
        <v>3.0175442406492716</v>
      </c>
      <c r="T64" s="325">
        <f t="shared" si="33"/>
        <v>1.6095999999999999</v>
      </c>
      <c r="U64" s="325">
        <f t="shared" si="33"/>
        <v>3.1497999999999999</v>
      </c>
      <c r="V64" s="325">
        <f t="shared" si="33"/>
        <v>2.2780999999999993</v>
      </c>
      <c r="W64" s="348">
        <f t="shared" si="33"/>
        <v>6.0587976774187347</v>
      </c>
      <c r="X64" s="324">
        <f t="shared" si="33"/>
        <v>3.012219607828106</v>
      </c>
      <c r="Y64" s="321">
        <f>IF(Y22=0,0,Y17)</f>
        <v>1.6095999999999999</v>
      </c>
      <c r="Z64" s="321">
        <f>IF(Z22=0,0,Z17)</f>
        <v>3.1497999999999999</v>
      </c>
      <c r="AA64" s="321">
        <f>IF(AA22=0,0,AA17)</f>
        <v>2.2780999999999998</v>
      </c>
      <c r="AB64" s="322">
        <f>IF(AB22=0,0,AB17)</f>
        <v>6.0587616457703506</v>
      </c>
      <c r="AC64" s="349">
        <f>IFERROR(AC63/AC53*100,0)</f>
        <v>3.0228682888574445</v>
      </c>
      <c r="AD64" s="327">
        <f>IF(AD22=0,0,AD17)</f>
        <v>1.6095999999999999</v>
      </c>
      <c r="AE64" s="327">
        <f>IF(AE22=0,0,AE17)</f>
        <v>3.1497999999999999</v>
      </c>
      <c r="AF64" s="327">
        <f>IF(AF22=0,0,AF17)</f>
        <v>2.2780999999999998</v>
      </c>
      <c r="AG64" s="328">
        <f>IF(AG22=0,0,AG17)</f>
        <v>6.0588337090394795</v>
      </c>
      <c r="AH64" s="204"/>
      <c r="AI64" s="204"/>
      <c r="AJ64" s="204"/>
      <c r="AK64" s="204"/>
      <c r="AL64" s="204"/>
      <c r="AM64" s="204"/>
      <c r="AN64" s="204"/>
    </row>
    <row r="65" spans="1:40" s="205" customFormat="1" ht="48.6" customHeight="1" thickBot="1" x14ac:dyDescent="0.25">
      <c r="A65" s="200"/>
      <c r="B65" s="278" t="s">
        <v>53</v>
      </c>
      <c r="C65" s="266" t="s">
        <v>34</v>
      </c>
      <c r="D65" s="320">
        <f>I65+N65</f>
        <v>289.21669199999997</v>
      </c>
      <c r="E65" s="321">
        <f>J65+O65</f>
        <v>51.28110199999999</v>
      </c>
      <c r="F65" s="321">
        <f>K65+P65</f>
        <v>29.492861999999999</v>
      </c>
      <c r="G65" s="321">
        <f>L65+Q65</f>
        <v>180.09119479999998</v>
      </c>
      <c r="H65" s="322">
        <f>M65+R65</f>
        <v>28.351533200000016</v>
      </c>
      <c r="I65" s="320">
        <f>SUM(J65:M65)</f>
        <v>144.60834599999998</v>
      </c>
      <c r="J65" s="321">
        <f>J22</f>
        <v>25.640550999999995</v>
      </c>
      <c r="K65" s="321">
        <f>K22</f>
        <v>14.746430999999999</v>
      </c>
      <c r="L65" s="321">
        <f>L22</f>
        <v>90.045597399999991</v>
      </c>
      <c r="M65" s="322">
        <f>M22</f>
        <v>14.175766600000008</v>
      </c>
      <c r="N65" s="320">
        <f>SUM(O65:R65)</f>
        <v>144.60834599999998</v>
      </c>
      <c r="O65" s="321">
        <f>O22</f>
        <v>25.640550999999995</v>
      </c>
      <c r="P65" s="321">
        <f>P22</f>
        <v>14.746430999999999</v>
      </c>
      <c r="Q65" s="321">
        <f>Q22</f>
        <v>90.045597399999991</v>
      </c>
      <c r="R65" s="322">
        <f>R22</f>
        <v>14.175766600000008</v>
      </c>
      <c r="S65" s="320">
        <f>X65+AC65</f>
        <v>294.99999999999994</v>
      </c>
      <c r="T65" s="321">
        <f>Y65+AD65</f>
        <v>54.81454269984058</v>
      </c>
      <c r="U65" s="321">
        <f>Z65+AE65</f>
        <v>32.240422103869136</v>
      </c>
      <c r="V65" s="321">
        <f>AA65+AF65</f>
        <v>177.15200043741245</v>
      </c>
      <c r="W65" s="346">
        <f>AB65+AG65</f>
        <v>30.793034758877798</v>
      </c>
      <c r="X65" s="350">
        <f>SUM(Y65:AB65)</f>
        <v>147.49999999999997</v>
      </c>
      <c r="Y65" s="351">
        <f>Y22</f>
        <v>27.40727134992029</v>
      </c>
      <c r="Z65" s="351">
        <f>Z22</f>
        <v>16.120211051934568</v>
      </c>
      <c r="AA65" s="351">
        <f>AA22</f>
        <v>88.576000218706227</v>
      </c>
      <c r="AB65" s="352">
        <f>AB22</f>
        <v>15.396517379438899</v>
      </c>
      <c r="AC65" s="347">
        <f>SUM(AD65:AG65)</f>
        <v>147.49999999999997</v>
      </c>
      <c r="AD65" s="321">
        <f>AD22</f>
        <v>27.40727134992029</v>
      </c>
      <c r="AE65" s="321">
        <f>AE22</f>
        <v>16.120211051934568</v>
      </c>
      <c r="AF65" s="321">
        <f>AF22</f>
        <v>88.576000218706227</v>
      </c>
      <c r="AG65" s="322">
        <f>AG22</f>
        <v>15.396517379438899</v>
      </c>
      <c r="AH65" s="204"/>
      <c r="AI65" s="204"/>
      <c r="AJ65" s="204"/>
      <c r="AK65" s="204"/>
      <c r="AL65" s="204"/>
      <c r="AM65" s="204"/>
      <c r="AN65" s="204"/>
    </row>
    <row r="66" spans="1:40" s="205" customFormat="1" ht="12" customHeight="1" x14ac:dyDescent="0.2">
      <c r="A66" s="200"/>
      <c r="B66" s="200"/>
      <c r="C66" s="297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353"/>
      <c r="Y66" s="298"/>
      <c r="Z66" s="298"/>
      <c r="AA66" s="298"/>
      <c r="AB66" s="298"/>
      <c r="AC66" s="298"/>
      <c r="AD66" s="298"/>
      <c r="AE66" s="298"/>
      <c r="AF66" s="298"/>
      <c r="AG66" s="298"/>
      <c r="AH66" s="204"/>
      <c r="AI66" s="204"/>
      <c r="AJ66" s="204"/>
      <c r="AK66" s="204"/>
      <c r="AL66" s="204"/>
      <c r="AM66" s="204"/>
      <c r="AN66" s="204"/>
    </row>
    <row r="67" spans="1:40" s="205" customFormat="1" x14ac:dyDescent="0.2">
      <c r="A67" s="200"/>
      <c r="B67" s="204"/>
      <c r="C67" s="297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354"/>
      <c r="Y67" s="298"/>
      <c r="Z67" s="298"/>
      <c r="AA67" s="298"/>
      <c r="AB67" s="298"/>
      <c r="AC67" s="298"/>
      <c r="AD67" s="298"/>
      <c r="AE67" s="298"/>
      <c r="AF67" s="298"/>
      <c r="AG67" s="298"/>
      <c r="AH67" s="204"/>
      <c r="AI67" s="204"/>
      <c r="AJ67" s="204"/>
      <c r="AK67" s="204"/>
      <c r="AL67" s="204"/>
      <c r="AM67" s="204"/>
      <c r="AN67" s="204"/>
    </row>
    <row r="68" spans="1:40" s="205" customFormat="1" x14ac:dyDescent="0.2">
      <c r="A68" s="200"/>
      <c r="B68" s="338" t="s">
        <v>59</v>
      </c>
      <c r="C68" s="204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355"/>
      <c r="Y68" s="268"/>
      <c r="Z68" s="268"/>
      <c r="AA68" s="268"/>
      <c r="AB68" s="268"/>
      <c r="AC68" s="298"/>
      <c r="AD68" s="298"/>
      <c r="AE68" s="298"/>
      <c r="AF68" s="298"/>
      <c r="AG68" s="298"/>
      <c r="AH68" s="204"/>
      <c r="AI68" s="204"/>
      <c r="AJ68" s="204"/>
      <c r="AK68" s="204"/>
      <c r="AL68" s="204"/>
      <c r="AM68" s="204"/>
      <c r="AN68" s="204"/>
    </row>
    <row r="69" spans="1:40" s="205" customFormat="1" x14ac:dyDescent="0.2">
      <c r="A69" s="200"/>
      <c r="B69" s="356" t="s">
        <v>38</v>
      </c>
      <c r="C69" s="357" t="s">
        <v>31</v>
      </c>
      <c r="D69" s="358" t="s">
        <v>8</v>
      </c>
      <c r="E69" s="358" t="s">
        <v>9</v>
      </c>
      <c r="F69" s="358" t="s">
        <v>10</v>
      </c>
      <c r="G69" s="358" t="s">
        <v>11</v>
      </c>
      <c r="H69" s="358" t="s">
        <v>12</v>
      </c>
      <c r="I69" s="358" t="s">
        <v>8</v>
      </c>
      <c r="J69" s="358" t="s">
        <v>9</v>
      </c>
      <c r="K69" s="358" t="s">
        <v>10</v>
      </c>
      <c r="L69" s="358" t="s">
        <v>11</v>
      </c>
      <c r="M69" s="358" t="s">
        <v>12</v>
      </c>
      <c r="N69" s="358" t="s">
        <v>8</v>
      </c>
      <c r="O69" s="358" t="s">
        <v>9</v>
      </c>
      <c r="P69" s="358" t="s">
        <v>10</v>
      </c>
      <c r="Q69" s="358" t="s">
        <v>11</v>
      </c>
      <c r="R69" s="358" t="s">
        <v>12</v>
      </c>
      <c r="S69" s="358" t="s">
        <v>8</v>
      </c>
      <c r="T69" s="358" t="s">
        <v>9</v>
      </c>
      <c r="U69" s="358" t="s">
        <v>10</v>
      </c>
      <c r="V69" s="358" t="s">
        <v>11</v>
      </c>
      <c r="W69" s="358" t="s">
        <v>12</v>
      </c>
      <c r="X69" s="358" t="s">
        <v>8</v>
      </c>
      <c r="Y69" s="358" t="s">
        <v>9</v>
      </c>
      <c r="Z69" s="358" t="s">
        <v>10</v>
      </c>
      <c r="AA69" s="358" t="s">
        <v>11</v>
      </c>
      <c r="AB69" s="358" t="s">
        <v>12</v>
      </c>
      <c r="AC69" s="358" t="s">
        <v>8</v>
      </c>
      <c r="AD69" s="358" t="s">
        <v>9</v>
      </c>
      <c r="AE69" s="358" t="s">
        <v>10</v>
      </c>
      <c r="AF69" s="358" t="s">
        <v>11</v>
      </c>
      <c r="AG69" s="358" t="s">
        <v>12</v>
      </c>
      <c r="AH69" s="204"/>
      <c r="AI69" s="204"/>
      <c r="AJ69" s="204"/>
      <c r="AK69" s="204"/>
      <c r="AL69" s="204"/>
      <c r="AM69" s="204"/>
      <c r="AN69" s="204"/>
    </row>
    <row r="70" spans="1:40" s="205" customFormat="1" ht="25.5" x14ac:dyDescent="0.2">
      <c r="A70" s="200"/>
      <c r="B70" s="359" t="s">
        <v>39</v>
      </c>
      <c r="C70" s="360" t="s">
        <v>34</v>
      </c>
      <c r="D70" s="361">
        <f>SUM(E70:H70)</f>
        <v>3.5344E-2</v>
      </c>
      <c r="E70" s="362"/>
      <c r="F70" s="362"/>
      <c r="G70" s="362">
        <v>3.5344E-2</v>
      </c>
      <c r="H70" s="362"/>
      <c r="I70" s="361">
        <f>SUM(J70:M70)</f>
        <v>1.7672E-2</v>
      </c>
      <c r="J70" s="362"/>
      <c r="K70" s="362"/>
      <c r="L70" s="362">
        <v>1.7672E-2</v>
      </c>
      <c r="M70" s="362"/>
      <c r="N70" s="361">
        <f>SUM(O70:R70)</f>
        <v>1.7672E-2</v>
      </c>
      <c r="O70" s="362"/>
      <c r="P70" s="362"/>
      <c r="Q70" s="362">
        <f>G70-L70</f>
        <v>1.7672E-2</v>
      </c>
      <c r="R70" s="362"/>
      <c r="S70" s="361">
        <f>SUM(T70:W70)</f>
        <v>3.2366300366300366E-2</v>
      </c>
      <c r="T70" s="362"/>
      <c r="U70" s="362"/>
      <c r="V70" s="362">
        <f>AA70+AF70</f>
        <v>3.2366300366300366E-2</v>
      </c>
      <c r="W70" s="362"/>
      <c r="X70" s="361">
        <f>SUM(Y70:AB70)</f>
        <v>1.6183150183150183E-2</v>
      </c>
      <c r="Y70" s="362"/>
      <c r="Z70" s="362"/>
      <c r="AA70" s="362">
        <f>Q70*(0.1/0.1092)</f>
        <v>1.6183150183150183E-2</v>
      </c>
      <c r="AB70" s="362"/>
      <c r="AC70" s="361">
        <f>SUM(AD70:AG70)</f>
        <v>1.6183150183150183E-2</v>
      </c>
      <c r="AD70" s="362"/>
      <c r="AE70" s="362"/>
      <c r="AF70" s="362">
        <f>AA70</f>
        <v>1.6183150183150183E-2</v>
      </c>
      <c r="AG70" s="362"/>
      <c r="AH70" s="204"/>
      <c r="AI70" s="204"/>
      <c r="AJ70" s="204"/>
      <c r="AK70" s="204"/>
      <c r="AL70" s="204"/>
      <c r="AM70" s="204"/>
      <c r="AN70" s="204"/>
    </row>
    <row r="71" spans="1:40" s="205" customFormat="1" ht="25.5" x14ac:dyDescent="0.2">
      <c r="A71" s="200"/>
      <c r="B71" s="359" t="s">
        <v>40</v>
      </c>
      <c r="C71" s="360" t="s">
        <v>34</v>
      </c>
      <c r="D71" s="361">
        <f>SUM(E71:H71)</f>
        <v>0.18307900000000002</v>
      </c>
      <c r="E71" s="362"/>
      <c r="F71" s="362"/>
      <c r="G71" s="362">
        <v>0.18307900000000002</v>
      </c>
      <c r="H71" s="362"/>
      <c r="I71" s="361">
        <f>SUM(J71:M71)</f>
        <v>9.153950000000001E-2</v>
      </c>
      <c r="J71" s="362"/>
      <c r="K71" s="362"/>
      <c r="L71" s="362">
        <v>9.153950000000001E-2</v>
      </c>
      <c r="M71" s="362"/>
      <c r="N71" s="361">
        <f>SUM(O71:R71)</f>
        <v>9.153950000000001E-2</v>
      </c>
      <c r="O71" s="362"/>
      <c r="P71" s="362"/>
      <c r="Q71" s="362">
        <f>G71-L71</f>
        <v>9.153950000000001E-2</v>
      </c>
      <c r="R71" s="362"/>
      <c r="S71" s="361">
        <f>SUM(T71:W71)</f>
        <v>0.16765476190476192</v>
      </c>
      <c r="T71" s="362"/>
      <c r="U71" s="362"/>
      <c r="V71" s="362">
        <f>AA71+AF71</f>
        <v>0.16765476190476192</v>
      </c>
      <c r="W71" s="362"/>
      <c r="X71" s="361">
        <f>SUM(Y71:AB71)</f>
        <v>8.3827380952380959E-2</v>
      </c>
      <c r="Y71" s="362"/>
      <c r="Z71" s="362"/>
      <c r="AA71" s="362">
        <f>Q71*(0.1/0.1092)</f>
        <v>8.3827380952380959E-2</v>
      </c>
      <c r="AB71" s="362"/>
      <c r="AC71" s="361">
        <f>SUM(AD71:AG71)</f>
        <v>8.3827380952380959E-2</v>
      </c>
      <c r="AD71" s="362"/>
      <c r="AE71" s="362"/>
      <c r="AF71" s="362">
        <f>AA71</f>
        <v>8.3827380952380959E-2</v>
      </c>
      <c r="AG71" s="362"/>
      <c r="AH71" s="204"/>
      <c r="AI71" s="204"/>
      <c r="AJ71" s="204"/>
      <c r="AK71" s="204"/>
      <c r="AL71" s="204"/>
      <c r="AM71" s="204"/>
      <c r="AN71" s="204"/>
    </row>
    <row r="72" spans="1:40" s="205" customFormat="1" ht="25.5" x14ac:dyDescent="0.2">
      <c r="A72" s="200"/>
      <c r="B72" s="359"/>
      <c r="C72" s="360" t="s">
        <v>34</v>
      </c>
      <c r="D72" s="361">
        <f>SUM(E72:H72)</f>
        <v>0</v>
      </c>
      <c r="E72" s="362"/>
      <c r="F72" s="362"/>
      <c r="G72" s="362"/>
      <c r="H72" s="362"/>
      <c r="I72" s="361">
        <f>SUM(J72:M72)</f>
        <v>0</v>
      </c>
      <c r="J72" s="362"/>
      <c r="K72" s="362"/>
      <c r="L72" s="362"/>
      <c r="M72" s="362"/>
      <c r="N72" s="361">
        <f>SUM(O72:R72)</f>
        <v>0</v>
      </c>
      <c r="O72" s="362"/>
      <c r="P72" s="362"/>
      <c r="Q72" s="362"/>
      <c r="R72" s="362"/>
      <c r="S72" s="361">
        <f>SUM(T72:W72)</f>
        <v>0</v>
      </c>
      <c r="T72" s="362"/>
      <c r="U72" s="362"/>
      <c r="V72" s="362"/>
      <c r="W72" s="362"/>
      <c r="X72" s="361">
        <f>SUM(Y72:AB72)</f>
        <v>0</v>
      </c>
      <c r="Y72" s="362"/>
      <c r="Z72" s="362"/>
      <c r="AA72" s="362"/>
      <c r="AB72" s="362"/>
      <c r="AC72" s="361">
        <f>SUM(AD72:AG72)</f>
        <v>0</v>
      </c>
      <c r="AD72" s="362"/>
      <c r="AE72" s="362"/>
      <c r="AF72" s="362"/>
      <c r="AG72" s="362"/>
      <c r="AH72" s="204"/>
      <c r="AI72" s="204"/>
      <c r="AJ72" s="204"/>
      <c r="AK72" s="204"/>
      <c r="AL72" s="204"/>
      <c r="AM72" s="204"/>
      <c r="AN72" s="204"/>
    </row>
    <row r="73" spans="1:40" s="205" customFormat="1" ht="25.5" x14ac:dyDescent="0.2">
      <c r="A73" s="200"/>
      <c r="B73" s="359"/>
      <c r="C73" s="360" t="s">
        <v>34</v>
      </c>
      <c r="D73" s="361">
        <f>SUM(E73:H73)</f>
        <v>0</v>
      </c>
      <c r="E73" s="362"/>
      <c r="F73" s="362"/>
      <c r="G73" s="362"/>
      <c r="H73" s="362"/>
      <c r="I73" s="361">
        <f>SUM(J73:M73)</f>
        <v>0</v>
      </c>
      <c r="J73" s="362"/>
      <c r="K73" s="362"/>
      <c r="L73" s="362"/>
      <c r="M73" s="362"/>
      <c r="N73" s="361">
        <f>SUM(O73:R73)</f>
        <v>0</v>
      </c>
      <c r="O73" s="362"/>
      <c r="P73" s="362"/>
      <c r="Q73" s="362"/>
      <c r="R73" s="362"/>
      <c r="S73" s="361">
        <f>SUM(T73:W73)</f>
        <v>0</v>
      </c>
      <c r="T73" s="362"/>
      <c r="U73" s="362"/>
      <c r="V73" s="362"/>
      <c r="W73" s="362"/>
      <c r="X73" s="361">
        <f>SUM(Y73:AB73)</f>
        <v>0</v>
      </c>
      <c r="Y73" s="362"/>
      <c r="Z73" s="362"/>
      <c r="AA73" s="362"/>
      <c r="AB73" s="362"/>
      <c r="AC73" s="361">
        <f>SUM(AD73:AG73)</f>
        <v>0</v>
      </c>
      <c r="AD73" s="362"/>
      <c r="AE73" s="362"/>
      <c r="AF73" s="362"/>
      <c r="AG73" s="362"/>
      <c r="AH73" s="204"/>
      <c r="AI73" s="204"/>
      <c r="AJ73" s="204"/>
      <c r="AK73" s="204"/>
      <c r="AL73" s="204"/>
      <c r="AM73" s="204"/>
      <c r="AN73" s="204"/>
    </row>
    <row r="74" spans="1:40" s="205" customFormat="1" ht="21" customHeight="1" x14ac:dyDescent="0.2">
      <c r="A74" s="200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204"/>
      <c r="AI74" s="204"/>
      <c r="AJ74" s="204"/>
      <c r="AK74" s="204"/>
      <c r="AL74" s="204"/>
      <c r="AM74" s="204"/>
      <c r="AN74" s="204"/>
    </row>
    <row r="75" spans="1:40" s="205" customFormat="1" ht="21.75" customHeight="1" x14ac:dyDescent="0.2">
      <c r="A75" s="200"/>
      <c r="B75" s="364" t="s">
        <v>41</v>
      </c>
      <c r="C75" s="360" t="s">
        <v>34</v>
      </c>
      <c r="D75" s="365">
        <f t="shared" ref="D75:AG75" si="34">SUM(D70:D74)</f>
        <v>0.21842300000000003</v>
      </c>
      <c r="E75" s="365">
        <f t="shared" si="34"/>
        <v>0</v>
      </c>
      <c r="F75" s="365">
        <f t="shared" si="34"/>
        <v>0</v>
      </c>
      <c r="G75" s="365">
        <f t="shared" si="34"/>
        <v>0.21842300000000003</v>
      </c>
      <c r="H75" s="365">
        <f t="shared" si="34"/>
        <v>0</v>
      </c>
      <c r="I75" s="365">
        <f t="shared" si="34"/>
        <v>0.10921150000000002</v>
      </c>
      <c r="J75" s="365">
        <f t="shared" si="34"/>
        <v>0</v>
      </c>
      <c r="K75" s="365">
        <f t="shared" si="34"/>
        <v>0</v>
      </c>
      <c r="L75" s="365">
        <f t="shared" si="34"/>
        <v>0.10921150000000002</v>
      </c>
      <c r="M75" s="365">
        <f t="shared" si="34"/>
        <v>0</v>
      </c>
      <c r="N75" s="365">
        <f t="shared" si="34"/>
        <v>0.10921150000000002</v>
      </c>
      <c r="O75" s="365">
        <f t="shared" si="34"/>
        <v>0</v>
      </c>
      <c r="P75" s="365">
        <f t="shared" si="34"/>
        <v>0</v>
      </c>
      <c r="Q75" s="365">
        <f t="shared" si="34"/>
        <v>0.10921150000000002</v>
      </c>
      <c r="R75" s="365">
        <f t="shared" si="34"/>
        <v>0</v>
      </c>
      <c r="S75" s="365">
        <f t="shared" si="34"/>
        <v>0.20002106227106228</v>
      </c>
      <c r="T75" s="365">
        <f t="shared" si="34"/>
        <v>0</v>
      </c>
      <c r="U75" s="365">
        <f t="shared" si="34"/>
        <v>0</v>
      </c>
      <c r="V75" s="365">
        <f t="shared" si="34"/>
        <v>0.20002106227106228</v>
      </c>
      <c r="W75" s="365">
        <f t="shared" si="34"/>
        <v>0</v>
      </c>
      <c r="X75" s="365">
        <f t="shared" si="34"/>
        <v>0.10001053113553114</v>
      </c>
      <c r="Y75" s="365">
        <f t="shared" si="34"/>
        <v>0</v>
      </c>
      <c r="Z75" s="365">
        <f t="shared" si="34"/>
        <v>0</v>
      </c>
      <c r="AA75" s="365">
        <f t="shared" si="34"/>
        <v>0.10001053113553114</v>
      </c>
      <c r="AB75" s="365">
        <f t="shared" si="34"/>
        <v>0</v>
      </c>
      <c r="AC75" s="365">
        <f t="shared" si="34"/>
        <v>0.10001053113553114</v>
      </c>
      <c r="AD75" s="365">
        <f t="shared" si="34"/>
        <v>0</v>
      </c>
      <c r="AE75" s="365">
        <f t="shared" si="34"/>
        <v>0</v>
      </c>
      <c r="AF75" s="365">
        <f t="shared" si="34"/>
        <v>0.10001053113553114</v>
      </c>
      <c r="AG75" s="365">
        <f t="shared" si="34"/>
        <v>0</v>
      </c>
      <c r="AH75" s="204"/>
      <c r="AI75" s="204"/>
      <c r="AJ75" s="204"/>
      <c r="AK75" s="204"/>
      <c r="AL75" s="204"/>
      <c r="AM75" s="204"/>
      <c r="AN75" s="204"/>
    </row>
    <row r="76" spans="1:40" s="205" customFormat="1" x14ac:dyDescent="0.2">
      <c r="A76" s="200"/>
      <c r="B76" s="366"/>
      <c r="C76" s="367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298"/>
      <c r="AD76" s="298"/>
      <c r="AE76" s="298"/>
      <c r="AF76" s="298"/>
      <c r="AG76" s="204"/>
      <c r="AH76" s="204"/>
      <c r="AI76" s="204"/>
      <c r="AJ76" s="204"/>
      <c r="AK76" s="204"/>
      <c r="AL76" s="204"/>
      <c r="AM76" s="204"/>
      <c r="AN76" s="204"/>
    </row>
    <row r="77" spans="1:40" s="205" customFormat="1" x14ac:dyDescent="0.2">
      <c r="A77" s="200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98"/>
      <c r="AC77" s="298"/>
      <c r="AD77" s="298"/>
      <c r="AE77" s="298"/>
      <c r="AF77" s="298"/>
      <c r="AG77" s="204"/>
      <c r="AH77" s="204"/>
      <c r="AI77" s="204"/>
      <c r="AJ77" s="204"/>
      <c r="AK77" s="204"/>
      <c r="AL77" s="204"/>
      <c r="AM77" s="204"/>
      <c r="AN77" s="204"/>
    </row>
    <row r="78" spans="1:40" s="205" customFormat="1" x14ac:dyDescent="0.2">
      <c r="A78" s="200"/>
      <c r="B78" s="338" t="s">
        <v>60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98"/>
      <c r="AC78" s="298"/>
      <c r="AD78" s="298"/>
      <c r="AE78" s="298"/>
      <c r="AF78" s="298"/>
      <c r="AG78" s="204"/>
      <c r="AH78" s="204"/>
      <c r="AI78" s="204"/>
      <c r="AJ78" s="204"/>
      <c r="AK78" s="204"/>
      <c r="AL78" s="204"/>
      <c r="AM78" s="204"/>
      <c r="AN78" s="204"/>
    </row>
    <row r="79" spans="1:40" s="205" customFormat="1" x14ac:dyDescent="0.2">
      <c r="A79" s="200"/>
      <c r="B79" s="356" t="s">
        <v>38</v>
      </c>
      <c r="C79" s="357" t="s">
        <v>31</v>
      </c>
      <c r="D79" s="358" t="s">
        <v>8</v>
      </c>
      <c r="E79" s="358" t="s">
        <v>9</v>
      </c>
      <c r="F79" s="358" t="s">
        <v>10</v>
      </c>
      <c r="G79" s="358" t="s">
        <v>11</v>
      </c>
      <c r="H79" s="358" t="s">
        <v>12</v>
      </c>
      <c r="I79" s="358" t="s">
        <v>8</v>
      </c>
      <c r="J79" s="358" t="s">
        <v>9</v>
      </c>
      <c r="K79" s="358" t="s">
        <v>10</v>
      </c>
      <c r="L79" s="358" t="s">
        <v>11</v>
      </c>
      <c r="M79" s="358" t="s">
        <v>12</v>
      </c>
      <c r="N79" s="358" t="s">
        <v>8</v>
      </c>
      <c r="O79" s="358" t="s">
        <v>9</v>
      </c>
      <c r="P79" s="358" t="s">
        <v>10</v>
      </c>
      <c r="Q79" s="358" t="s">
        <v>11</v>
      </c>
      <c r="R79" s="358" t="s">
        <v>12</v>
      </c>
      <c r="S79" s="358" t="s">
        <v>8</v>
      </c>
      <c r="T79" s="358" t="s">
        <v>9</v>
      </c>
      <c r="U79" s="358" t="s">
        <v>10</v>
      </c>
      <c r="V79" s="358" t="s">
        <v>11</v>
      </c>
      <c r="W79" s="358" t="s">
        <v>12</v>
      </c>
      <c r="X79" s="358" t="s">
        <v>8</v>
      </c>
      <c r="Y79" s="358" t="s">
        <v>9</v>
      </c>
      <c r="Z79" s="358" t="s">
        <v>10</v>
      </c>
      <c r="AA79" s="358" t="s">
        <v>11</v>
      </c>
      <c r="AB79" s="358" t="s">
        <v>12</v>
      </c>
      <c r="AC79" s="358" t="s">
        <v>8</v>
      </c>
      <c r="AD79" s="358" t="s">
        <v>9</v>
      </c>
      <c r="AE79" s="358" t="s">
        <v>10</v>
      </c>
      <c r="AF79" s="358" t="s">
        <v>11</v>
      </c>
      <c r="AG79" s="358" t="s">
        <v>12</v>
      </c>
      <c r="AH79" s="204"/>
      <c r="AI79" s="204"/>
      <c r="AJ79" s="204"/>
      <c r="AK79" s="204"/>
      <c r="AL79" s="204"/>
      <c r="AM79" s="204"/>
      <c r="AN79" s="204"/>
    </row>
    <row r="80" spans="1:40" s="205" customFormat="1" ht="25.5" x14ac:dyDescent="0.2">
      <c r="A80" s="200"/>
      <c r="B80" s="369" t="s">
        <v>44</v>
      </c>
      <c r="C80" s="360" t="s">
        <v>34</v>
      </c>
      <c r="D80" s="361">
        <f>SUM(E80:H80)</f>
        <v>67.893923999999998</v>
      </c>
      <c r="E80" s="362">
        <v>46.388490000000004</v>
      </c>
      <c r="F80" s="362"/>
      <c r="G80" s="362">
        <v>21.505434000000001</v>
      </c>
      <c r="H80" s="362"/>
      <c r="I80" s="361">
        <f>SUM(J80:M80)</f>
        <v>33.946961999999999</v>
      </c>
      <c r="J80" s="362">
        <v>23.194245000000002</v>
      </c>
      <c r="K80" s="362"/>
      <c r="L80" s="362">
        <v>10.752717000000001</v>
      </c>
      <c r="M80" s="362"/>
      <c r="N80" s="361">
        <f>SUM(O80:R80)</f>
        <v>33.946961999999999</v>
      </c>
      <c r="O80" s="362">
        <v>23.194245000000002</v>
      </c>
      <c r="P80" s="362">
        <v>0</v>
      </c>
      <c r="Q80" s="362">
        <v>10.752717000000001</v>
      </c>
      <c r="R80" s="362">
        <v>0</v>
      </c>
      <c r="S80" s="361">
        <f>SUM(T80:W80)</f>
        <v>69.149524443845479</v>
      </c>
      <c r="T80" s="362">
        <f>Y80+AD80</f>
        <v>47.246378382373095</v>
      </c>
      <c r="U80" s="362">
        <f t="shared" ref="U80:W80" si="35">Z80+AE80</f>
        <v>0</v>
      </c>
      <c r="V80" s="362">
        <f t="shared" si="35"/>
        <v>21.903146061472388</v>
      </c>
      <c r="W80" s="362">
        <f t="shared" si="35"/>
        <v>0</v>
      </c>
      <c r="X80" s="361">
        <f>SUM(Y80:AB80)</f>
        <v>34.57476222192274</v>
      </c>
      <c r="Y80" s="362">
        <f>O80*69.1495/67.8939</f>
        <v>23.623189191186547</v>
      </c>
      <c r="Z80" s="362">
        <f t="shared" ref="Z80:AB80" si="36">P80*69.1495/67.8939</f>
        <v>0</v>
      </c>
      <c r="AA80" s="362">
        <f t="shared" si="36"/>
        <v>10.951573030736194</v>
      </c>
      <c r="AB80" s="362">
        <f t="shared" si="36"/>
        <v>0</v>
      </c>
      <c r="AC80" s="361">
        <f>SUM(AD80:AG80)</f>
        <v>34.57476222192274</v>
      </c>
      <c r="AD80" s="362">
        <f>Y80</f>
        <v>23.623189191186547</v>
      </c>
      <c r="AE80" s="362">
        <f t="shared" ref="AE80:AG80" si="37">Z80</f>
        <v>0</v>
      </c>
      <c r="AF80" s="362">
        <f t="shared" si="37"/>
        <v>10.951573030736194</v>
      </c>
      <c r="AG80" s="362">
        <f t="shared" si="37"/>
        <v>0</v>
      </c>
      <c r="AH80" s="204"/>
      <c r="AI80" s="204"/>
      <c r="AJ80" s="204"/>
      <c r="AK80" s="204"/>
      <c r="AL80" s="204"/>
      <c r="AM80" s="204"/>
      <c r="AN80" s="204"/>
    </row>
    <row r="81" spans="1:40" s="205" customFormat="1" ht="25.5" x14ac:dyDescent="0.2">
      <c r="A81" s="200"/>
      <c r="B81" s="370" t="s">
        <v>45</v>
      </c>
      <c r="C81" s="360" t="s">
        <v>34</v>
      </c>
      <c r="D81" s="361">
        <f>SUM(E81:H81)</f>
        <v>-0.43486200000000003</v>
      </c>
      <c r="E81" s="362"/>
      <c r="F81" s="362"/>
      <c r="G81" s="362">
        <v>-0.43486200000000003</v>
      </c>
      <c r="H81" s="362"/>
      <c r="I81" s="361">
        <f>SUM(J81:M81)</f>
        <v>-0.21743100000000001</v>
      </c>
      <c r="J81" s="362"/>
      <c r="K81" s="362"/>
      <c r="L81" s="362">
        <v>-0.21743100000000001</v>
      </c>
      <c r="M81" s="362"/>
      <c r="N81" s="361">
        <f>SUM(O81:R81)</f>
        <v>-0.21743100000000001</v>
      </c>
      <c r="O81" s="362"/>
      <c r="P81" s="362"/>
      <c r="Q81" s="362">
        <v>-0.21743100000000001</v>
      </c>
      <c r="R81" s="362"/>
      <c r="S81" s="361">
        <f>SUM(T81:W81)</f>
        <v>0</v>
      </c>
      <c r="T81" s="362"/>
      <c r="U81" s="362"/>
      <c r="V81" s="362"/>
      <c r="W81" s="362"/>
      <c r="X81" s="361">
        <f>SUM(Y81:AB81)</f>
        <v>0</v>
      </c>
      <c r="Y81" s="362"/>
      <c r="Z81" s="362"/>
      <c r="AA81" s="362"/>
      <c r="AB81" s="362"/>
      <c r="AC81" s="361">
        <f>SUM(AD81:AG81)</f>
        <v>0</v>
      </c>
      <c r="AD81" s="362"/>
      <c r="AE81" s="362"/>
      <c r="AF81" s="362"/>
      <c r="AG81" s="362"/>
      <c r="AH81" s="204"/>
      <c r="AI81" s="204"/>
      <c r="AJ81" s="204"/>
      <c r="AK81" s="204"/>
      <c r="AL81" s="204"/>
      <c r="AM81" s="204"/>
      <c r="AN81" s="204"/>
    </row>
    <row r="82" spans="1:40" s="205" customFormat="1" ht="25.5" x14ac:dyDescent="0.2">
      <c r="A82" s="200"/>
      <c r="B82" s="370"/>
      <c r="C82" s="360" t="s">
        <v>34</v>
      </c>
      <c r="D82" s="361">
        <f>SUM(E82:H82)</f>
        <v>0</v>
      </c>
      <c r="E82" s="362"/>
      <c r="F82" s="362"/>
      <c r="G82" s="362"/>
      <c r="H82" s="362"/>
      <c r="I82" s="361">
        <f>SUM(J82:M82)</f>
        <v>0</v>
      </c>
      <c r="J82" s="362"/>
      <c r="K82" s="362"/>
      <c r="L82" s="362"/>
      <c r="M82" s="362"/>
      <c r="N82" s="361">
        <f>SUM(O82:R82)</f>
        <v>0</v>
      </c>
      <c r="O82" s="362"/>
      <c r="P82" s="362"/>
      <c r="Q82" s="362"/>
      <c r="R82" s="362"/>
      <c r="S82" s="361">
        <f>SUM(T82:W82)</f>
        <v>0</v>
      </c>
      <c r="T82" s="362"/>
      <c r="U82" s="362"/>
      <c r="V82" s="362"/>
      <c r="W82" s="362"/>
      <c r="X82" s="361">
        <f>SUM(Y82:AB82)</f>
        <v>0</v>
      </c>
      <c r="Y82" s="362"/>
      <c r="Z82" s="362"/>
      <c r="AA82" s="362"/>
      <c r="AB82" s="362"/>
      <c r="AC82" s="361">
        <f>SUM(AD82:AG82)</f>
        <v>0</v>
      </c>
      <c r="AD82" s="362"/>
      <c r="AE82" s="362"/>
      <c r="AF82" s="362"/>
      <c r="AG82" s="362"/>
      <c r="AH82" s="204"/>
      <c r="AI82" s="204"/>
      <c r="AJ82" s="204"/>
      <c r="AK82" s="204"/>
      <c r="AL82" s="204"/>
      <c r="AM82" s="204"/>
      <c r="AN82" s="204"/>
    </row>
    <row r="83" spans="1:40" s="205" customFormat="1" ht="25.5" x14ac:dyDescent="0.2">
      <c r="A83" s="200"/>
      <c r="B83" s="370"/>
      <c r="C83" s="360" t="s">
        <v>34</v>
      </c>
      <c r="D83" s="361">
        <f>SUM(E83:H83)</f>
        <v>0</v>
      </c>
      <c r="E83" s="362"/>
      <c r="F83" s="362"/>
      <c r="G83" s="362"/>
      <c r="H83" s="362"/>
      <c r="I83" s="361">
        <f>SUM(J83:M83)</f>
        <v>0</v>
      </c>
      <c r="J83" s="362"/>
      <c r="K83" s="362"/>
      <c r="L83" s="362"/>
      <c r="M83" s="362"/>
      <c r="N83" s="361">
        <f>SUM(O83:R83)</f>
        <v>0</v>
      </c>
      <c r="O83" s="362"/>
      <c r="P83" s="362"/>
      <c r="Q83" s="362"/>
      <c r="R83" s="362"/>
      <c r="S83" s="361">
        <f>SUM(T83:W83)</f>
        <v>0</v>
      </c>
      <c r="T83" s="362"/>
      <c r="U83" s="362"/>
      <c r="V83" s="362"/>
      <c r="W83" s="362"/>
      <c r="X83" s="361">
        <f>SUM(Y83:AB83)</f>
        <v>0</v>
      </c>
      <c r="Y83" s="362"/>
      <c r="Z83" s="362"/>
      <c r="AA83" s="362"/>
      <c r="AB83" s="362"/>
      <c r="AC83" s="361">
        <f>SUM(AD83:AG83)</f>
        <v>0</v>
      </c>
      <c r="AD83" s="362"/>
      <c r="AE83" s="362"/>
      <c r="AF83" s="362"/>
      <c r="AG83" s="362"/>
      <c r="AH83" s="204"/>
      <c r="AI83" s="204"/>
      <c r="AJ83" s="204"/>
      <c r="AK83" s="204"/>
      <c r="AL83" s="204"/>
      <c r="AM83" s="204"/>
      <c r="AN83" s="204"/>
    </row>
    <row r="84" spans="1:40" s="205" customFormat="1" ht="23.25" customHeight="1" x14ac:dyDescent="0.2">
      <c r="A84" s="200"/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204"/>
      <c r="AI84" s="204"/>
      <c r="AJ84" s="204"/>
      <c r="AK84" s="204"/>
      <c r="AL84" s="204"/>
      <c r="AM84" s="204"/>
      <c r="AN84" s="204"/>
    </row>
    <row r="85" spans="1:40" s="205" customFormat="1" ht="25.5" x14ac:dyDescent="0.2">
      <c r="A85" s="200"/>
      <c r="B85" s="364" t="s">
        <v>41</v>
      </c>
      <c r="C85" s="360" t="s">
        <v>34</v>
      </c>
      <c r="D85" s="371">
        <f t="shared" ref="D85:AG85" si="38">SUM(D80:D84)</f>
        <v>67.459062000000003</v>
      </c>
      <c r="E85" s="371">
        <f t="shared" si="38"/>
        <v>46.388490000000004</v>
      </c>
      <c r="F85" s="371">
        <f t="shared" si="38"/>
        <v>0</v>
      </c>
      <c r="G85" s="371">
        <f t="shared" si="38"/>
        <v>21.070572000000002</v>
      </c>
      <c r="H85" s="371">
        <f t="shared" si="38"/>
        <v>0</v>
      </c>
      <c r="I85" s="371">
        <f t="shared" si="38"/>
        <v>33.729531000000001</v>
      </c>
      <c r="J85" s="371">
        <f t="shared" si="38"/>
        <v>23.194245000000002</v>
      </c>
      <c r="K85" s="371">
        <f t="shared" si="38"/>
        <v>0</v>
      </c>
      <c r="L85" s="371">
        <f t="shared" si="38"/>
        <v>10.535286000000001</v>
      </c>
      <c r="M85" s="371">
        <f t="shared" si="38"/>
        <v>0</v>
      </c>
      <c r="N85" s="371">
        <f t="shared" si="38"/>
        <v>33.729531000000001</v>
      </c>
      <c r="O85" s="371">
        <f t="shared" si="38"/>
        <v>23.194245000000002</v>
      </c>
      <c r="P85" s="371">
        <f t="shared" si="38"/>
        <v>0</v>
      </c>
      <c r="Q85" s="371">
        <f t="shared" si="38"/>
        <v>10.535286000000001</v>
      </c>
      <c r="R85" s="371">
        <f>SUM(R80:R84)</f>
        <v>0</v>
      </c>
      <c r="S85" s="371">
        <f t="shared" si="38"/>
        <v>69.149524443845479</v>
      </c>
      <c r="T85" s="371">
        <f t="shared" si="38"/>
        <v>47.246378382373095</v>
      </c>
      <c r="U85" s="371">
        <f t="shared" si="38"/>
        <v>0</v>
      </c>
      <c r="V85" s="371">
        <f t="shared" si="38"/>
        <v>21.903146061472388</v>
      </c>
      <c r="W85" s="371">
        <f t="shared" si="38"/>
        <v>0</v>
      </c>
      <c r="X85" s="371">
        <f t="shared" si="38"/>
        <v>34.57476222192274</v>
      </c>
      <c r="Y85" s="371">
        <f t="shared" si="38"/>
        <v>23.623189191186547</v>
      </c>
      <c r="Z85" s="371">
        <f t="shared" si="38"/>
        <v>0</v>
      </c>
      <c r="AA85" s="371">
        <f t="shared" si="38"/>
        <v>10.951573030736194</v>
      </c>
      <c r="AB85" s="371">
        <f t="shared" si="38"/>
        <v>0</v>
      </c>
      <c r="AC85" s="371">
        <f t="shared" si="38"/>
        <v>34.57476222192274</v>
      </c>
      <c r="AD85" s="371">
        <f t="shared" si="38"/>
        <v>23.623189191186547</v>
      </c>
      <c r="AE85" s="371">
        <f t="shared" si="38"/>
        <v>0</v>
      </c>
      <c r="AF85" s="371">
        <f t="shared" si="38"/>
        <v>10.951573030736194</v>
      </c>
      <c r="AG85" s="371">
        <f t="shared" si="38"/>
        <v>0</v>
      </c>
      <c r="AH85" s="204"/>
      <c r="AI85" s="204"/>
      <c r="AJ85" s="204"/>
      <c r="AK85" s="204"/>
      <c r="AL85" s="204"/>
      <c r="AM85" s="204"/>
      <c r="AN85" s="204"/>
    </row>
    <row r="86" spans="1:40" s="205" customFormat="1" x14ac:dyDescent="0.2">
      <c r="A86" s="200"/>
      <c r="B86" s="366"/>
      <c r="C86" s="367"/>
      <c r="D86" s="372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298"/>
      <c r="AE86" s="298"/>
      <c r="AF86" s="298"/>
      <c r="AG86" s="298"/>
      <c r="AH86" s="298"/>
      <c r="AI86" s="204"/>
      <c r="AJ86" s="204"/>
      <c r="AK86" s="204"/>
      <c r="AL86" s="204"/>
      <c r="AM86" s="204"/>
      <c r="AN86" s="204"/>
    </row>
    <row r="87" spans="1:40" s="205" customFormat="1" x14ac:dyDescent="0.2">
      <c r="A87" s="20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98"/>
      <c r="AD87" s="298"/>
      <c r="AE87" s="298"/>
      <c r="AF87" s="298"/>
      <c r="AG87" s="298"/>
      <c r="AH87" s="204"/>
      <c r="AI87" s="204"/>
      <c r="AJ87" s="204"/>
      <c r="AK87" s="204"/>
      <c r="AL87" s="204"/>
      <c r="AM87" s="204"/>
      <c r="AN87" s="204"/>
    </row>
    <row r="88" spans="1:40" s="205" customFormat="1" x14ac:dyDescent="0.2">
      <c r="A88" s="200"/>
      <c r="B88" s="338" t="s">
        <v>61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98"/>
      <c r="AD88" s="298"/>
      <c r="AE88" s="298"/>
      <c r="AF88" s="298"/>
      <c r="AG88" s="298"/>
      <c r="AH88" s="204"/>
      <c r="AI88" s="204"/>
      <c r="AJ88" s="204"/>
      <c r="AK88" s="204"/>
      <c r="AL88" s="204"/>
      <c r="AM88" s="204"/>
      <c r="AN88" s="204"/>
    </row>
    <row r="89" spans="1:40" s="205" customFormat="1" x14ac:dyDescent="0.2">
      <c r="A89" s="200"/>
      <c r="B89" s="356" t="s">
        <v>47</v>
      </c>
      <c r="C89" s="357" t="s">
        <v>31</v>
      </c>
      <c r="D89" s="358" t="s">
        <v>8</v>
      </c>
      <c r="E89" s="358" t="s">
        <v>9</v>
      </c>
      <c r="F89" s="358" t="s">
        <v>10</v>
      </c>
      <c r="G89" s="358" t="s">
        <v>11</v>
      </c>
      <c r="H89" s="358" t="s">
        <v>12</v>
      </c>
      <c r="I89" s="358" t="s">
        <v>8</v>
      </c>
      <c r="J89" s="358" t="s">
        <v>9</v>
      </c>
      <c r="K89" s="358" t="s">
        <v>10</v>
      </c>
      <c r="L89" s="358" t="s">
        <v>11</v>
      </c>
      <c r="M89" s="358" t="s">
        <v>12</v>
      </c>
      <c r="N89" s="358" t="s">
        <v>8</v>
      </c>
      <c r="O89" s="358" t="s">
        <v>9</v>
      </c>
      <c r="P89" s="358" t="s">
        <v>10</v>
      </c>
      <c r="Q89" s="358" t="s">
        <v>11</v>
      </c>
      <c r="R89" s="358" t="s">
        <v>12</v>
      </c>
      <c r="S89" s="358" t="s">
        <v>8</v>
      </c>
      <c r="T89" s="358" t="s">
        <v>9</v>
      </c>
      <c r="U89" s="358" t="s">
        <v>10</v>
      </c>
      <c r="V89" s="358" t="s">
        <v>11</v>
      </c>
      <c r="W89" s="358" t="s">
        <v>12</v>
      </c>
      <c r="X89" s="358" t="s">
        <v>8</v>
      </c>
      <c r="Y89" s="358" t="s">
        <v>9</v>
      </c>
      <c r="Z89" s="358" t="s">
        <v>10</v>
      </c>
      <c r="AA89" s="358" t="s">
        <v>11</v>
      </c>
      <c r="AB89" s="358" t="s">
        <v>12</v>
      </c>
      <c r="AC89" s="358" t="s">
        <v>8</v>
      </c>
      <c r="AD89" s="358" t="s">
        <v>9</v>
      </c>
      <c r="AE89" s="358" t="s">
        <v>10</v>
      </c>
      <c r="AF89" s="358" t="s">
        <v>11</v>
      </c>
      <c r="AG89" s="358" t="s">
        <v>12</v>
      </c>
      <c r="AH89" s="204"/>
      <c r="AI89" s="204"/>
      <c r="AJ89" s="204"/>
      <c r="AK89" s="204"/>
      <c r="AL89" s="204"/>
      <c r="AM89" s="204"/>
      <c r="AN89" s="204"/>
    </row>
    <row r="90" spans="1:40" s="205" customFormat="1" ht="25.5" x14ac:dyDescent="0.2">
      <c r="A90" s="200"/>
      <c r="B90" s="359" t="s">
        <v>48</v>
      </c>
      <c r="C90" s="360" t="s">
        <v>34</v>
      </c>
      <c r="D90" s="361">
        <f>SUM(E90:H90)</f>
        <v>0.89408399999999977</v>
      </c>
      <c r="E90" s="362"/>
      <c r="F90" s="362"/>
      <c r="G90" s="362">
        <v>4.8548000000000147E-2</v>
      </c>
      <c r="H90" s="362">
        <v>0.84553599999999962</v>
      </c>
      <c r="I90" s="361">
        <f>SUM(J90:M90)</f>
        <v>0.44704199999999988</v>
      </c>
      <c r="J90" s="362">
        <f>E90/2</f>
        <v>0</v>
      </c>
      <c r="K90" s="362"/>
      <c r="L90" s="362">
        <v>2.4274000000000073E-2</v>
      </c>
      <c r="M90" s="362">
        <v>0.42276799999999981</v>
      </c>
      <c r="N90" s="361">
        <f>SUM(O90:R90)</f>
        <v>0.44704199999999988</v>
      </c>
      <c r="O90" s="362">
        <f>E90-J90</f>
        <v>0</v>
      </c>
      <c r="P90" s="362">
        <f t="shared" ref="P90:Q92" si="39">F90-K90</f>
        <v>0</v>
      </c>
      <c r="Q90" s="362">
        <v>2.4274000000000073E-2</v>
      </c>
      <c r="R90" s="362">
        <v>0.42276799999999981</v>
      </c>
      <c r="S90" s="361">
        <f>SUM(T90:W90)</f>
        <v>0.83998496812437062</v>
      </c>
      <c r="T90" s="362"/>
      <c r="U90" s="362"/>
      <c r="V90" s="362">
        <v>4.5610468627670417E-2</v>
      </c>
      <c r="W90" s="362">
        <v>0.79437449949670025</v>
      </c>
      <c r="X90" s="361">
        <f>SUM(Y90:AB90)</f>
        <v>0.41999248406218531</v>
      </c>
      <c r="Y90" s="362"/>
      <c r="Z90" s="362"/>
      <c r="AA90" s="362">
        <v>2.2805234313835208E-2</v>
      </c>
      <c r="AB90" s="362">
        <v>0.39718724974835012</v>
      </c>
      <c r="AC90" s="361">
        <f>SUM(AD90:AG90)</f>
        <v>0.41999248406218531</v>
      </c>
      <c r="AD90" s="362"/>
      <c r="AE90" s="362"/>
      <c r="AF90" s="362">
        <v>2.2805234313835208E-2</v>
      </c>
      <c r="AG90" s="362">
        <v>0.39718724974835012</v>
      </c>
      <c r="AH90" s="204"/>
      <c r="AI90" s="204"/>
      <c r="AJ90" s="204"/>
      <c r="AK90" s="204"/>
      <c r="AL90" s="204"/>
      <c r="AM90" s="204"/>
      <c r="AN90" s="204"/>
    </row>
    <row r="91" spans="1:40" s="205" customFormat="1" ht="25.5" x14ac:dyDescent="0.2">
      <c r="A91" s="200"/>
      <c r="B91" s="359"/>
      <c r="C91" s="360" t="s">
        <v>34</v>
      </c>
      <c r="D91" s="361">
        <f>SUM(E91:H91)</f>
        <v>0</v>
      </c>
      <c r="E91" s="362"/>
      <c r="F91" s="362"/>
      <c r="G91" s="362"/>
      <c r="H91" s="362"/>
      <c r="I91" s="361">
        <f>SUM(J91:M91)</f>
        <v>0</v>
      </c>
      <c r="J91" s="362"/>
      <c r="K91" s="362"/>
      <c r="L91" s="362">
        <f t="shared" ref="L91:L92" si="40">G91/2</f>
        <v>0</v>
      </c>
      <c r="M91" s="362"/>
      <c r="N91" s="361">
        <f>SUM(O91:R91)</f>
        <v>0</v>
      </c>
      <c r="O91" s="362"/>
      <c r="P91" s="362"/>
      <c r="Q91" s="362">
        <f t="shared" si="39"/>
        <v>0</v>
      </c>
      <c r="R91" s="362"/>
      <c r="S91" s="361">
        <f>SUM(T91:W91)</f>
        <v>0</v>
      </c>
      <c r="T91" s="362"/>
      <c r="U91" s="362"/>
      <c r="V91" s="362"/>
      <c r="W91" s="362"/>
      <c r="X91" s="361">
        <f>SUM(Y91:AB91)</f>
        <v>0</v>
      </c>
      <c r="Y91" s="362"/>
      <c r="Z91" s="362"/>
      <c r="AA91" s="362"/>
      <c r="AB91" s="362"/>
      <c r="AC91" s="361">
        <f>SUM(AD91:AG91)</f>
        <v>0</v>
      </c>
      <c r="AD91" s="362"/>
      <c r="AE91" s="362"/>
      <c r="AF91" s="362"/>
      <c r="AG91" s="362"/>
      <c r="AH91" s="204"/>
      <c r="AI91" s="204"/>
      <c r="AJ91" s="204"/>
      <c r="AK91" s="204"/>
      <c r="AL91" s="204"/>
      <c r="AM91" s="204"/>
      <c r="AN91" s="204"/>
    </row>
    <row r="92" spans="1:40" s="205" customFormat="1" ht="25.5" x14ac:dyDescent="0.2">
      <c r="A92" s="200"/>
      <c r="B92" s="359"/>
      <c r="C92" s="360" t="s">
        <v>34</v>
      </c>
      <c r="D92" s="361">
        <f>SUM(E92:H92)</f>
        <v>0</v>
      </c>
      <c r="E92" s="362"/>
      <c r="F92" s="362"/>
      <c r="G92" s="362"/>
      <c r="H92" s="362"/>
      <c r="I92" s="361">
        <f>SUM(J92:M92)</f>
        <v>0</v>
      </c>
      <c r="J92" s="362"/>
      <c r="K92" s="362"/>
      <c r="L92" s="362">
        <f t="shared" si="40"/>
        <v>0</v>
      </c>
      <c r="M92" s="362"/>
      <c r="N92" s="361">
        <f>SUM(O92:R92)</f>
        <v>0</v>
      </c>
      <c r="O92" s="362"/>
      <c r="P92" s="362"/>
      <c r="Q92" s="362">
        <f t="shared" si="39"/>
        <v>0</v>
      </c>
      <c r="R92" s="362"/>
      <c r="S92" s="361">
        <f>SUM(T92:W92)</f>
        <v>0</v>
      </c>
      <c r="T92" s="362"/>
      <c r="U92" s="362"/>
      <c r="V92" s="362"/>
      <c r="W92" s="362"/>
      <c r="X92" s="361">
        <f>SUM(Y92:AB92)</f>
        <v>0</v>
      </c>
      <c r="Y92" s="362"/>
      <c r="Z92" s="362"/>
      <c r="AA92" s="362"/>
      <c r="AB92" s="362"/>
      <c r="AC92" s="361">
        <f>SUM(AD92:AG92)</f>
        <v>0</v>
      </c>
      <c r="AD92" s="362"/>
      <c r="AE92" s="362"/>
      <c r="AF92" s="362"/>
      <c r="AG92" s="362"/>
      <c r="AH92" s="204"/>
      <c r="AI92" s="204"/>
      <c r="AJ92" s="204"/>
      <c r="AK92" s="204"/>
      <c r="AL92" s="204"/>
      <c r="AM92" s="204"/>
      <c r="AN92" s="204"/>
    </row>
    <row r="93" spans="1:40" s="205" customFormat="1" ht="25.5" x14ac:dyDescent="0.2">
      <c r="A93" s="200"/>
      <c r="B93" s="359"/>
      <c r="C93" s="360" t="s">
        <v>34</v>
      </c>
      <c r="D93" s="361">
        <f>SUM(E93:H93)</f>
        <v>0</v>
      </c>
      <c r="E93" s="362"/>
      <c r="F93" s="362"/>
      <c r="G93" s="362"/>
      <c r="H93" s="362"/>
      <c r="I93" s="361">
        <f>SUM(J93:M93)</f>
        <v>0</v>
      </c>
      <c r="J93" s="362"/>
      <c r="K93" s="362"/>
      <c r="L93" s="362"/>
      <c r="M93" s="362"/>
      <c r="N93" s="361">
        <f>SUM(O93:R93)</f>
        <v>0</v>
      </c>
      <c r="O93" s="362"/>
      <c r="P93" s="362"/>
      <c r="Q93" s="362"/>
      <c r="R93" s="362"/>
      <c r="S93" s="361">
        <f>SUM(T93:W93)</f>
        <v>0</v>
      </c>
      <c r="T93" s="362"/>
      <c r="U93" s="362"/>
      <c r="V93" s="362"/>
      <c r="W93" s="362"/>
      <c r="X93" s="361">
        <f>SUM(Y93:AB93)</f>
        <v>0</v>
      </c>
      <c r="Y93" s="362"/>
      <c r="Z93" s="362"/>
      <c r="AA93" s="362"/>
      <c r="AB93" s="362"/>
      <c r="AC93" s="361">
        <f>SUM(AD93:AG93)</f>
        <v>0</v>
      </c>
      <c r="AD93" s="362"/>
      <c r="AE93" s="362"/>
      <c r="AF93" s="362"/>
      <c r="AG93" s="362"/>
      <c r="AH93" s="204"/>
      <c r="AI93" s="204"/>
      <c r="AJ93" s="204"/>
      <c r="AK93" s="204"/>
      <c r="AL93" s="204"/>
      <c r="AM93" s="204"/>
      <c r="AN93" s="204"/>
    </row>
    <row r="94" spans="1:40" s="205" customFormat="1" ht="23.25" customHeight="1" x14ac:dyDescent="0.2">
      <c r="A94" s="200"/>
      <c r="B94" s="363"/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204"/>
      <c r="AI94" s="204"/>
      <c r="AJ94" s="204"/>
      <c r="AK94" s="204"/>
      <c r="AL94" s="204"/>
      <c r="AM94" s="204"/>
      <c r="AN94" s="204"/>
    </row>
    <row r="95" spans="1:40" s="205" customFormat="1" ht="25.5" x14ac:dyDescent="0.2">
      <c r="A95" s="200"/>
      <c r="B95" s="364" t="s">
        <v>41</v>
      </c>
      <c r="C95" s="360" t="s">
        <v>34</v>
      </c>
      <c r="D95" s="361">
        <f>SUM(D90:D94)</f>
        <v>0.89408399999999977</v>
      </c>
      <c r="E95" s="361">
        <f t="shared" ref="E95:AG95" si="41">SUM(E90:E94)</f>
        <v>0</v>
      </c>
      <c r="F95" s="361">
        <f t="shared" si="41"/>
        <v>0</v>
      </c>
      <c r="G95" s="361">
        <f t="shared" si="41"/>
        <v>4.8548000000000147E-2</v>
      </c>
      <c r="H95" s="361">
        <f t="shared" si="41"/>
        <v>0.84553599999999962</v>
      </c>
      <c r="I95" s="361">
        <f t="shared" si="41"/>
        <v>0.44704199999999988</v>
      </c>
      <c r="J95" s="361">
        <f t="shared" si="41"/>
        <v>0</v>
      </c>
      <c r="K95" s="361">
        <f t="shared" si="41"/>
        <v>0</v>
      </c>
      <c r="L95" s="361">
        <f t="shared" si="41"/>
        <v>2.4274000000000073E-2</v>
      </c>
      <c r="M95" s="361">
        <f t="shared" si="41"/>
        <v>0.42276799999999981</v>
      </c>
      <c r="N95" s="361">
        <f t="shared" si="41"/>
        <v>0.44704199999999988</v>
      </c>
      <c r="O95" s="361">
        <f t="shared" si="41"/>
        <v>0</v>
      </c>
      <c r="P95" s="361">
        <f t="shared" si="41"/>
        <v>0</v>
      </c>
      <c r="Q95" s="361">
        <f t="shared" si="41"/>
        <v>2.4274000000000073E-2</v>
      </c>
      <c r="R95" s="361">
        <f t="shared" si="41"/>
        <v>0.42276799999999981</v>
      </c>
      <c r="S95" s="361">
        <f t="shared" si="41"/>
        <v>0.83998496812437062</v>
      </c>
      <c r="T95" s="361">
        <f t="shared" si="41"/>
        <v>0</v>
      </c>
      <c r="U95" s="361">
        <f t="shared" si="41"/>
        <v>0</v>
      </c>
      <c r="V95" s="361">
        <f t="shared" si="41"/>
        <v>4.5610468627670417E-2</v>
      </c>
      <c r="W95" s="361">
        <f t="shared" si="41"/>
        <v>0.79437449949670025</v>
      </c>
      <c r="X95" s="361">
        <f t="shared" si="41"/>
        <v>0.41999248406218531</v>
      </c>
      <c r="Y95" s="361">
        <f t="shared" si="41"/>
        <v>0</v>
      </c>
      <c r="Z95" s="361">
        <f t="shared" si="41"/>
        <v>0</v>
      </c>
      <c r="AA95" s="361">
        <f t="shared" si="41"/>
        <v>2.2805234313835208E-2</v>
      </c>
      <c r="AB95" s="361">
        <f t="shared" si="41"/>
        <v>0.39718724974835012</v>
      </c>
      <c r="AC95" s="361">
        <f>SUM(AC90:AC94)</f>
        <v>0.41999248406218531</v>
      </c>
      <c r="AD95" s="361">
        <f t="shared" si="41"/>
        <v>0</v>
      </c>
      <c r="AE95" s="361">
        <f t="shared" si="41"/>
        <v>0</v>
      </c>
      <c r="AF95" s="361">
        <f t="shared" si="41"/>
        <v>2.2805234313835208E-2</v>
      </c>
      <c r="AG95" s="361">
        <f t="shared" si="41"/>
        <v>0.39718724974835012</v>
      </c>
      <c r="AH95" s="204"/>
      <c r="AI95" s="204"/>
      <c r="AJ95" s="204"/>
      <c r="AK95" s="204"/>
      <c r="AL95" s="204"/>
      <c r="AM95" s="204"/>
      <c r="AN95" s="204"/>
    </row>
    <row r="96" spans="1:40" s="205" customFormat="1" x14ac:dyDescent="0.2">
      <c r="A96" s="200"/>
      <c r="B96" s="366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04"/>
      <c r="AH96" s="204"/>
      <c r="AI96" s="204"/>
      <c r="AJ96" s="204"/>
      <c r="AK96" s="204"/>
      <c r="AL96" s="204"/>
      <c r="AM96" s="204"/>
      <c r="AN96" s="204"/>
    </row>
    <row r="97" spans="1:40" s="205" customFormat="1" x14ac:dyDescent="0.2">
      <c r="A97" s="200"/>
      <c r="B97" s="200"/>
      <c r="C97" s="297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04"/>
      <c r="AI97" s="204"/>
      <c r="AJ97" s="204"/>
      <c r="AK97" s="204"/>
      <c r="AL97" s="204"/>
      <c r="AM97" s="204"/>
      <c r="AN97" s="204"/>
    </row>
    <row r="98" spans="1:40" s="205" customFormat="1" x14ac:dyDescent="0.2">
      <c r="A98" s="200"/>
      <c r="B98" s="200"/>
      <c r="C98" s="297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04"/>
      <c r="AI98" s="204"/>
      <c r="AJ98" s="204"/>
      <c r="AK98" s="204"/>
      <c r="AL98" s="204"/>
      <c r="AM98" s="204"/>
      <c r="AN98" s="204"/>
    </row>
    <row r="99" spans="1:40" s="205" customFormat="1" x14ac:dyDescent="0.2">
      <c r="A99" s="200"/>
      <c r="B99" s="200"/>
      <c r="C99" s="297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04"/>
      <c r="AI99" s="204"/>
      <c r="AJ99" s="204"/>
      <c r="AK99" s="204"/>
      <c r="AL99" s="204"/>
      <c r="AM99" s="204"/>
      <c r="AN99" s="204"/>
    </row>
  </sheetData>
  <protectedRanges>
    <protectedRange sqref="B90:B93 B80:B83 B70:B73" name="Диапазон1_1"/>
  </protectedRanges>
  <mergeCells count="33">
    <mergeCell ref="X51:AB51"/>
    <mergeCell ref="AC51:AG51"/>
    <mergeCell ref="B63:B64"/>
    <mergeCell ref="AC28:AG28"/>
    <mergeCell ref="B40:B41"/>
    <mergeCell ref="B50:B52"/>
    <mergeCell ref="C50:C52"/>
    <mergeCell ref="D50:R50"/>
    <mergeCell ref="S50:AG50"/>
    <mergeCell ref="D51:H51"/>
    <mergeCell ref="I51:M51"/>
    <mergeCell ref="N51:R51"/>
    <mergeCell ref="S51:W51"/>
    <mergeCell ref="B16:B17"/>
    <mergeCell ref="B27:B29"/>
    <mergeCell ref="C27:C29"/>
    <mergeCell ref="D27:R27"/>
    <mergeCell ref="S27:AG27"/>
    <mergeCell ref="D28:H28"/>
    <mergeCell ref="I28:M28"/>
    <mergeCell ref="N28:R28"/>
    <mergeCell ref="S28:W28"/>
    <mergeCell ref="X28:AB28"/>
    <mergeCell ref="B3:B5"/>
    <mergeCell ref="C3:C5"/>
    <mergeCell ref="D3:R3"/>
    <mergeCell ref="S3:AG3"/>
    <mergeCell ref="D4:H4"/>
    <mergeCell ref="I4:M4"/>
    <mergeCell ref="N4:R4"/>
    <mergeCell ref="S4:W4"/>
    <mergeCell ref="X4:AB4"/>
    <mergeCell ref="AC4:AG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4 B74 B94">
      <formula1>900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6"/>
  <sheetViews>
    <sheetView workbookViewId="0">
      <selection activeCell="B13" sqref="B13"/>
    </sheetView>
  </sheetViews>
  <sheetFormatPr defaultColWidth="9.140625" defaultRowHeight="12.75" x14ac:dyDescent="0.2"/>
  <cols>
    <col min="1" max="1" width="3.5703125" style="170" customWidth="1"/>
    <col min="2" max="2" width="75.28515625" style="3" customWidth="1"/>
    <col min="3" max="3" width="11.5703125" style="3" customWidth="1"/>
    <col min="4" max="4" width="13.42578125" style="3" customWidth="1"/>
    <col min="5" max="5" width="15.140625" style="3" customWidth="1"/>
    <col min="6" max="6" width="19.140625" style="3" customWidth="1"/>
    <col min="7" max="7" width="15.140625" style="3" customWidth="1"/>
    <col min="8" max="8" width="14" style="3" customWidth="1"/>
    <col min="9" max="9" width="12.85546875" style="3" customWidth="1"/>
    <col min="10" max="10" width="14.5703125" style="3" customWidth="1"/>
    <col min="11" max="38" width="9.140625" style="3" customWidth="1"/>
    <col min="39" max="16384" width="9.140625" style="3"/>
  </cols>
  <sheetData>
    <row r="1" spans="1:48" s="9" customFormat="1" x14ac:dyDescent="0.2">
      <c r="A1" s="5"/>
      <c r="B1" s="6" t="s">
        <v>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3.5" thickBot="1" x14ac:dyDescent="0.25">
      <c r="A2" s="5"/>
      <c r="B2" s="5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x14ac:dyDescent="0.2">
      <c r="A3" s="5"/>
      <c r="B3" s="194" t="s">
        <v>1</v>
      </c>
      <c r="C3" s="197" t="s">
        <v>2</v>
      </c>
      <c r="D3" s="179" t="s">
        <v>3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  <c r="S3" s="182" t="s">
        <v>4</v>
      </c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4"/>
      <c r="AH3" s="2"/>
      <c r="AI3" s="2"/>
      <c r="AJ3" s="2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x14ac:dyDescent="0.2">
      <c r="A4" s="5"/>
      <c r="B4" s="195"/>
      <c r="C4" s="198"/>
      <c r="D4" s="190" t="s">
        <v>5</v>
      </c>
      <c r="E4" s="191"/>
      <c r="F4" s="191"/>
      <c r="G4" s="191"/>
      <c r="H4" s="192"/>
      <c r="I4" s="186" t="s">
        <v>6</v>
      </c>
      <c r="J4" s="191"/>
      <c r="K4" s="191"/>
      <c r="L4" s="191"/>
      <c r="M4" s="192"/>
      <c r="N4" s="186" t="s">
        <v>7</v>
      </c>
      <c r="O4" s="191"/>
      <c r="P4" s="191"/>
      <c r="Q4" s="191"/>
      <c r="R4" s="193"/>
      <c r="S4" s="190" t="s">
        <v>5</v>
      </c>
      <c r="T4" s="191"/>
      <c r="U4" s="191"/>
      <c r="V4" s="191"/>
      <c r="W4" s="192"/>
      <c r="X4" s="186" t="s">
        <v>6</v>
      </c>
      <c r="Y4" s="191"/>
      <c r="Z4" s="191"/>
      <c r="AA4" s="191"/>
      <c r="AB4" s="192"/>
      <c r="AC4" s="186" t="s">
        <v>7</v>
      </c>
      <c r="AD4" s="191"/>
      <c r="AE4" s="191"/>
      <c r="AF4" s="191"/>
      <c r="AG4" s="193"/>
      <c r="AH4" s="2"/>
      <c r="AI4" s="2"/>
      <c r="AJ4" s="2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3.5" thickBot="1" x14ac:dyDescent="0.25">
      <c r="A5" s="5"/>
      <c r="B5" s="196"/>
      <c r="C5" s="199"/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8</v>
      </c>
      <c r="O5" s="11" t="s">
        <v>9</v>
      </c>
      <c r="P5" s="11" t="s">
        <v>10</v>
      </c>
      <c r="Q5" s="11" t="s">
        <v>11</v>
      </c>
      <c r="R5" s="12" t="s">
        <v>12</v>
      </c>
      <c r="S5" s="10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1" t="s">
        <v>8</v>
      </c>
      <c r="Y5" s="11" t="s">
        <v>9</v>
      </c>
      <c r="Z5" s="11" t="s">
        <v>10</v>
      </c>
      <c r="AA5" s="11" t="s">
        <v>11</v>
      </c>
      <c r="AB5" s="11" t="s">
        <v>12</v>
      </c>
      <c r="AC5" s="11" t="s">
        <v>8</v>
      </c>
      <c r="AD5" s="11" t="s">
        <v>9</v>
      </c>
      <c r="AE5" s="11" t="s">
        <v>10</v>
      </c>
      <c r="AF5" s="11" t="s">
        <v>11</v>
      </c>
      <c r="AG5" s="13" t="s">
        <v>12</v>
      </c>
      <c r="AH5" s="2"/>
      <c r="AI5" s="2"/>
      <c r="AJ5" s="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x14ac:dyDescent="0.2">
      <c r="A6" s="5"/>
      <c r="B6" s="14" t="s">
        <v>13</v>
      </c>
      <c r="C6" s="15" t="s">
        <v>14</v>
      </c>
      <c r="D6" s="16">
        <f>(I6+N6)/2</f>
        <v>111.0014</v>
      </c>
      <c r="E6" s="17">
        <f>(J6+O6)/2</f>
        <v>50.849800000000002</v>
      </c>
      <c r="F6" s="17">
        <f>(K6+P6)/2</f>
        <v>24.711200000000002</v>
      </c>
      <c r="G6" s="17">
        <f>(L6+Q6)/2</f>
        <v>40.219499999999996</v>
      </c>
      <c r="H6" s="18">
        <f>(M6+R6)/2</f>
        <v>5.0997000000000003</v>
      </c>
      <c r="I6" s="19">
        <f>ROUND(I12+I13+I14+I15,4)</f>
        <v>111.0014</v>
      </c>
      <c r="J6" s="17">
        <f>ROUND(J12+J13+J14+J15,4)</f>
        <v>50.849800000000002</v>
      </c>
      <c r="K6" s="17">
        <f>ROUND(K7+K12+K13+K14+K15,4)</f>
        <v>24.711200000000002</v>
      </c>
      <c r="L6" s="17">
        <f>ROUND(L7+L12+L13+L14+L15,4)</f>
        <v>40.219499999999996</v>
      </c>
      <c r="M6" s="20">
        <f>ROUND(M7+M12+M13+M14+M15,4)</f>
        <v>5.0997000000000003</v>
      </c>
      <c r="N6" s="19">
        <f>ROUND(N12+N13+N14+N15,4)</f>
        <v>111.0014</v>
      </c>
      <c r="O6" s="17">
        <f>ROUND(O12+O13+O14+O15,4)</f>
        <v>50.849800000000002</v>
      </c>
      <c r="P6" s="17">
        <f>ROUND(P7+P12+P13+P14+P15,4)</f>
        <v>24.711200000000002</v>
      </c>
      <c r="Q6" s="17">
        <f>ROUND(Q7+Q12+Q13+Q14+Q15,4)</f>
        <v>40.219499999999996</v>
      </c>
      <c r="R6" s="20">
        <f>ROUND(R7+R12+R13+R14+R15,4)</f>
        <v>5.0997000000000003</v>
      </c>
      <c r="S6" s="16">
        <f>(X6+AC6)/2</f>
        <v>113.6778</v>
      </c>
      <c r="T6" s="17">
        <f>(Y6+AD6)/2</f>
        <v>50.865750000000006</v>
      </c>
      <c r="U6" s="17">
        <f>(Z6+AE6)/2</f>
        <v>32.681550000000001</v>
      </c>
      <c r="V6" s="17">
        <f>(AA6+AF6)/2</f>
        <v>42.803651622094108</v>
      </c>
      <c r="W6" s="18">
        <f>(AB6+AG6)/2</f>
        <v>7.4158834848840485</v>
      </c>
      <c r="X6" s="19">
        <f>ROUND(X12+X13+X14+X15,4)</f>
        <v>113.6735</v>
      </c>
      <c r="Y6" s="17">
        <f>ROUND(Y12+Y13+Y14+Y15,4)</f>
        <v>51.185000000000002</v>
      </c>
      <c r="Z6" s="17">
        <f>ROUND(Z7+Z12+Z13+Z14+Z15,4)</f>
        <v>31.6983</v>
      </c>
      <c r="AA6" s="17">
        <f>AA15+AA14+AA13+AA12+AA7</f>
        <v>42.814816767436213</v>
      </c>
      <c r="AB6" s="20">
        <f>AB15+AB14+AB13+AB12+AB11</f>
        <v>7.4158442770501134</v>
      </c>
      <c r="AC6" s="19">
        <f>ROUND(AC12+AC13+AC14+AC15,4)</f>
        <v>113.68210000000001</v>
      </c>
      <c r="AD6" s="17">
        <f>ROUND(AD12+AD13+AD14+AD15,4)</f>
        <v>50.546500000000002</v>
      </c>
      <c r="AE6" s="17">
        <f>ROUND(AE7+AE12+AE13+AE14+AE15,4)</f>
        <v>33.6648</v>
      </c>
      <c r="AF6" s="17">
        <f>AF15+AF14+AF13+AF12+AF7</f>
        <v>42.792486476752003</v>
      </c>
      <c r="AG6" s="20">
        <f>AG15+AG14+AG13+AG12+AG11</f>
        <v>7.4159226927179835</v>
      </c>
      <c r="AH6" s="2"/>
      <c r="AI6" s="2"/>
      <c r="AJ6" s="2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x14ac:dyDescent="0.2">
      <c r="A7" s="5"/>
      <c r="B7" s="21" t="s">
        <v>15</v>
      </c>
      <c r="C7" s="22" t="s">
        <v>14</v>
      </c>
      <c r="D7" s="23" t="s">
        <v>16</v>
      </c>
      <c r="E7" s="24" t="s">
        <v>16</v>
      </c>
      <c r="F7" s="25">
        <f>(K7+P7)/2</f>
        <v>0</v>
      </c>
      <c r="G7" s="25">
        <f>(L7+Q7)/2</f>
        <v>4.9805000000000001</v>
      </c>
      <c r="H7" s="26">
        <f>(M7+R7)/2</f>
        <v>4.8983999999999996</v>
      </c>
      <c r="I7" s="27" t="s">
        <v>16</v>
      </c>
      <c r="J7" s="24" t="s">
        <v>16</v>
      </c>
      <c r="K7" s="28">
        <f>ROUND(K9,4)</f>
        <v>0</v>
      </c>
      <c r="L7" s="28">
        <f>ROUND(L9+L10,4)</f>
        <v>4.9805000000000001</v>
      </c>
      <c r="M7" s="29">
        <f>ROUND(M9+M10+M11,4)</f>
        <v>4.8983999999999996</v>
      </c>
      <c r="N7" s="27" t="s">
        <v>16</v>
      </c>
      <c r="O7" s="24" t="s">
        <v>16</v>
      </c>
      <c r="P7" s="28">
        <f>ROUND(P9,4)</f>
        <v>0</v>
      </c>
      <c r="Q7" s="28">
        <f>ROUND(Q9+Q10,4)</f>
        <v>4.9805000000000001</v>
      </c>
      <c r="R7" s="29">
        <f>ROUND(R9+R10+R11,4)</f>
        <v>4.8983999999999996</v>
      </c>
      <c r="S7" s="23" t="s">
        <v>16</v>
      </c>
      <c r="T7" s="24" t="s">
        <v>16</v>
      </c>
      <c r="U7" s="25">
        <f>(Z7+AE7)/2</f>
        <v>0</v>
      </c>
      <c r="V7" s="25">
        <f>(AA7+AF7)/2</f>
        <v>13.140234731029235</v>
      </c>
      <c r="W7" s="26">
        <f>(AB7+AG7)/2</f>
        <v>6.9487821822543356</v>
      </c>
      <c r="X7" s="27" t="s">
        <v>16</v>
      </c>
      <c r="Y7" s="24" t="s">
        <v>16</v>
      </c>
      <c r="Z7" s="28">
        <f>ROUND(Z9,4)</f>
        <v>0</v>
      </c>
      <c r="AA7" s="28">
        <f>IF((AA10+AA9)=0,0,(AA10+AA9))</f>
        <v>12.491705139529234</v>
      </c>
      <c r="AB7" s="29">
        <f>IF(AB11=0,0,AB11)</f>
        <v>6.9487429744204006</v>
      </c>
      <c r="AC7" s="27" t="s">
        <v>16</v>
      </c>
      <c r="AD7" s="24" t="s">
        <v>16</v>
      </c>
      <c r="AE7" s="28">
        <f>ROUND(AE9,4)</f>
        <v>0</v>
      </c>
      <c r="AF7" s="28">
        <f>IF((AF10+AF9)=0,0,(AF10+AF9))</f>
        <v>13.788764322529234</v>
      </c>
      <c r="AG7" s="29">
        <f>IF(AG11=0,0,AG11)</f>
        <v>6.9488213900882707</v>
      </c>
      <c r="AH7" s="2"/>
      <c r="AI7" s="2"/>
      <c r="AJ7" s="2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9" customFormat="1" x14ac:dyDescent="0.2">
      <c r="A8" s="5"/>
      <c r="B8" s="21" t="s">
        <v>17</v>
      </c>
      <c r="C8" s="22" t="s">
        <v>14</v>
      </c>
      <c r="D8" s="23" t="s">
        <v>16</v>
      </c>
      <c r="E8" s="24" t="s">
        <v>16</v>
      </c>
      <c r="F8" s="24" t="s">
        <v>16</v>
      </c>
      <c r="G8" s="24" t="s">
        <v>16</v>
      </c>
      <c r="H8" s="30" t="s">
        <v>16</v>
      </c>
      <c r="I8" s="27" t="s">
        <v>16</v>
      </c>
      <c r="J8" s="24" t="s">
        <v>16</v>
      </c>
      <c r="K8" s="24" t="s">
        <v>16</v>
      </c>
      <c r="L8" s="24" t="s">
        <v>16</v>
      </c>
      <c r="M8" s="31" t="s">
        <v>16</v>
      </c>
      <c r="N8" s="27" t="s">
        <v>16</v>
      </c>
      <c r="O8" s="24" t="s">
        <v>16</v>
      </c>
      <c r="P8" s="24" t="s">
        <v>16</v>
      </c>
      <c r="Q8" s="24" t="s">
        <v>16</v>
      </c>
      <c r="R8" s="31" t="s">
        <v>16</v>
      </c>
      <c r="S8" s="23" t="s">
        <v>16</v>
      </c>
      <c r="T8" s="24" t="s">
        <v>16</v>
      </c>
      <c r="U8" s="24" t="s">
        <v>16</v>
      </c>
      <c r="V8" s="24" t="s">
        <v>16</v>
      </c>
      <c r="W8" s="30" t="s">
        <v>16</v>
      </c>
      <c r="X8" s="27" t="s">
        <v>16</v>
      </c>
      <c r="Y8" s="24" t="s">
        <v>16</v>
      </c>
      <c r="Z8" s="24" t="s">
        <v>16</v>
      </c>
      <c r="AA8" s="24" t="s">
        <v>16</v>
      </c>
      <c r="AB8" s="31" t="s">
        <v>16</v>
      </c>
      <c r="AC8" s="27" t="s">
        <v>16</v>
      </c>
      <c r="AD8" s="24" t="s">
        <v>16</v>
      </c>
      <c r="AE8" s="24" t="s">
        <v>16</v>
      </c>
      <c r="AF8" s="24" t="s">
        <v>16</v>
      </c>
      <c r="AG8" s="31" t="s">
        <v>16</v>
      </c>
      <c r="AH8" s="2"/>
      <c r="AI8" s="2"/>
      <c r="AJ8" s="2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s="9" customFormat="1" x14ac:dyDescent="0.2">
      <c r="A9" s="5"/>
      <c r="B9" s="32" t="s">
        <v>9</v>
      </c>
      <c r="C9" s="33" t="s">
        <v>14</v>
      </c>
      <c r="D9" s="34" t="s">
        <v>16</v>
      </c>
      <c r="E9" s="35" t="s">
        <v>16</v>
      </c>
      <c r="F9" s="25">
        <f>(K9+P9)/2</f>
        <v>0</v>
      </c>
      <c r="G9" s="25">
        <f>(L9+Q9)/2</f>
        <v>2.5287999999999999</v>
      </c>
      <c r="H9" s="26">
        <f>(M9+R9)/2</f>
        <v>0</v>
      </c>
      <c r="I9" s="36" t="s">
        <v>16</v>
      </c>
      <c r="J9" s="35" t="s">
        <v>16</v>
      </c>
      <c r="K9" s="37"/>
      <c r="L9" s="28">
        <f>ROUND(J6-J16-J18-J19-M9-K9,4)</f>
        <v>2.5287999999999999</v>
      </c>
      <c r="M9" s="37"/>
      <c r="N9" s="36" t="s">
        <v>16</v>
      </c>
      <c r="O9" s="35" t="s">
        <v>16</v>
      </c>
      <c r="P9" s="37"/>
      <c r="Q9" s="28">
        <f>ROUND(O6-O16-O18-O19-R9-P9,4)</f>
        <v>2.5287999999999999</v>
      </c>
      <c r="R9" s="37"/>
      <c r="S9" s="34" t="s">
        <v>16</v>
      </c>
      <c r="T9" s="35" t="s">
        <v>16</v>
      </c>
      <c r="U9" s="25">
        <f>(Z9+AE9)/2</f>
        <v>0</v>
      </c>
      <c r="V9" s="25">
        <f>(AA9+AF9)/2</f>
        <v>3.5187499999999998</v>
      </c>
      <c r="W9" s="26">
        <f>(AB9+AG9)/2</f>
        <v>0</v>
      </c>
      <c r="X9" s="36" t="s">
        <v>16</v>
      </c>
      <c r="Y9" s="35" t="s">
        <v>16</v>
      </c>
      <c r="Z9" s="37"/>
      <c r="AA9" s="28">
        <f>ROUND(Y6-Y16-Y18-Y19-AB9-Z9,4)</f>
        <v>3.8224999999999998</v>
      </c>
      <c r="AB9" s="37"/>
      <c r="AC9" s="36" t="s">
        <v>16</v>
      </c>
      <c r="AD9" s="35" t="s">
        <v>16</v>
      </c>
      <c r="AE9" s="37"/>
      <c r="AF9" s="28">
        <f>ROUND(AD6-AD16-AD18-AD19-AG9-AE9,4)</f>
        <v>3.2149999999999999</v>
      </c>
      <c r="AG9" s="37"/>
      <c r="AH9" s="2"/>
      <c r="AI9" s="2"/>
      <c r="AJ9" s="2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s="9" customFormat="1" x14ac:dyDescent="0.2">
      <c r="A10" s="5"/>
      <c r="B10" s="32" t="s">
        <v>10</v>
      </c>
      <c r="C10" s="33" t="s">
        <v>14</v>
      </c>
      <c r="D10" s="34" t="s">
        <v>16</v>
      </c>
      <c r="E10" s="35" t="s">
        <v>16</v>
      </c>
      <c r="F10" s="24" t="s">
        <v>16</v>
      </c>
      <c r="G10" s="25">
        <f>(L10+Q10)/2</f>
        <v>2.4517000000000002</v>
      </c>
      <c r="H10" s="26">
        <f>(M10+R10)/2</f>
        <v>0</v>
      </c>
      <c r="I10" s="36" t="s">
        <v>16</v>
      </c>
      <c r="J10" s="35" t="s">
        <v>16</v>
      </c>
      <c r="K10" s="35" t="s">
        <v>16</v>
      </c>
      <c r="L10" s="28">
        <f>ROUND(K6-K16-K18-K19-M10,4)</f>
        <v>2.4517000000000002</v>
      </c>
      <c r="M10" s="37"/>
      <c r="N10" s="36" t="s">
        <v>16</v>
      </c>
      <c r="O10" s="35" t="s">
        <v>16</v>
      </c>
      <c r="P10" s="35" t="s">
        <v>16</v>
      </c>
      <c r="Q10" s="28">
        <f>ROUND(P6-P16-P18-P19-R10,4)</f>
        <v>2.4517000000000002</v>
      </c>
      <c r="R10" s="37"/>
      <c r="S10" s="34" t="s">
        <v>16</v>
      </c>
      <c r="T10" s="35" t="s">
        <v>16</v>
      </c>
      <c r="U10" s="24" t="s">
        <v>16</v>
      </c>
      <c r="V10" s="25">
        <f>(AA10+AF10)/2</f>
        <v>9.6214847310292342</v>
      </c>
      <c r="W10" s="26">
        <f>(AB10+AG10)/2</f>
        <v>0</v>
      </c>
      <c r="X10" s="36" t="s">
        <v>16</v>
      </c>
      <c r="Y10" s="35" t="s">
        <v>16</v>
      </c>
      <c r="Z10" s="35" t="s">
        <v>16</v>
      </c>
      <c r="AA10" s="25">
        <f>Z6-Z16-Z18-Z19</f>
        <v>8.6692051395292342</v>
      </c>
      <c r="AB10" s="37"/>
      <c r="AC10" s="36" t="s">
        <v>16</v>
      </c>
      <c r="AD10" s="35" t="s">
        <v>16</v>
      </c>
      <c r="AE10" s="35" t="s">
        <v>16</v>
      </c>
      <c r="AF10" s="28">
        <f>AE6-AE16-AE18-AE19</f>
        <v>10.573764322529234</v>
      </c>
      <c r="AG10" s="37"/>
      <c r="AH10" s="2"/>
      <c r="AI10" s="2"/>
      <c r="AJ10" s="2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s="9" customFormat="1" x14ac:dyDescent="0.2">
      <c r="A11" s="5"/>
      <c r="B11" s="32" t="s">
        <v>11</v>
      </c>
      <c r="C11" s="33" t="s">
        <v>14</v>
      </c>
      <c r="D11" s="34" t="s">
        <v>16</v>
      </c>
      <c r="E11" s="35" t="s">
        <v>16</v>
      </c>
      <c r="F11" s="35" t="s">
        <v>16</v>
      </c>
      <c r="G11" s="35" t="s">
        <v>16</v>
      </c>
      <c r="H11" s="26">
        <f t="shared" ref="H11:H16" si="0">(M11+R11)/2</f>
        <v>4.8983999999999996</v>
      </c>
      <c r="I11" s="36" t="s">
        <v>16</v>
      </c>
      <c r="J11" s="35" t="s">
        <v>16</v>
      </c>
      <c r="K11" s="35" t="s">
        <v>16</v>
      </c>
      <c r="L11" s="35" t="s">
        <v>16</v>
      </c>
      <c r="M11" s="29">
        <f>ROUND(L6-L16-L18-L19,4)</f>
        <v>4.8983999999999996</v>
      </c>
      <c r="N11" s="36" t="s">
        <v>16</v>
      </c>
      <c r="O11" s="35" t="s">
        <v>16</v>
      </c>
      <c r="P11" s="35" t="s">
        <v>16</v>
      </c>
      <c r="Q11" s="35" t="s">
        <v>16</v>
      </c>
      <c r="R11" s="29">
        <f>ROUND(Q6-Q16-Q18-Q19,4)</f>
        <v>4.8983999999999996</v>
      </c>
      <c r="S11" s="34" t="s">
        <v>16</v>
      </c>
      <c r="T11" s="35" t="s">
        <v>16</v>
      </c>
      <c r="U11" s="35" t="s">
        <v>16</v>
      </c>
      <c r="V11" s="35" t="s">
        <v>16</v>
      </c>
      <c r="W11" s="26">
        <f t="shared" ref="W11:W16" si="1">(AB11+AG11)/2</f>
        <v>6.9487821822543356</v>
      </c>
      <c r="X11" s="36" t="s">
        <v>16</v>
      </c>
      <c r="Y11" s="35" t="s">
        <v>16</v>
      </c>
      <c r="Z11" s="35" t="s">
        <v>16</v>
      </c>
      <c r="AA11" s="35" t="s">
        <v>16</v>
      </c>
      <c r="AB11" s="29">
        <f>AA6-AA16-AA18-AA19</f>
        <v>6.9487429744204006</v>
      </c>
      <c r="AC11" s="36" t="s">
        <v>16</v>
      </c>
      <c r="AD11" s="35" t="s">
        <v>16</v>
      </c>
      <c r="AE11" s="35" t="s">
        <v>16</v>
      </c>
      <c r="AF11" s="35" t="s">
        <v>16</v>
      </c>
      <c r="AG11" s="29">
        <f>AF6-AF16-AF18-AF19</f>
        <v>6.9488213900882707</v>
      </c>
      <c r="AH11" s="2"/>
      <c r="AI11" s="2"/>
      <c r="AJ11" s="2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s="9" customFormat="1" x14ac:dyDescent="0.2">
      <c r="A12" s="5"/>
      <c r="B12" s="32" t="s">
        <v>18</v>
      </c>
      <c r="C12" s="33" t="s">
        <v>14</v>
      </c>
      <c r="D12" s="38">
        <f t="shared" ref="D12:G16" si="2">(I12+N12)/2</f>
        <v>30.307600000000001</v>
      </c>
      <c r="E12" s="25">
        <f t="shared" si="2"/>
        <v>0</v>
      </c>
      <c r="F12" s="25">
        <f t="shared" si="2"/>
        <v>0</v>
      </c>
      <c r="G12" s="25">
        <f t="shared" si="2"/>
        <v>30.307621774193528</v>
      </c>
      <c r="H12" s="26">
        <f t="shared" si="0"/>
        <v>0</v>
      </c>
      <c r="I12" s="39">
        <f>ROUND(SUM(J12:M12),4)</f>
        <v>30.307600000000001</v>
      </c>
      <c r="J12" s="37">
        <v>0</v>
      </c>
      <c r="K12" s="37">
        <v>0</v>
      </c>
      <c r="L12" s="37">
        <v>30.307621774193528</v>
      </c>
      <c r="M12" s="37">
        <v>0</v>
      </c>
      <c r="N12" s="39">
        <f>ROUND(SUM(O12:R12),4)</f>
        <v>30.307600000000001</v>
      </c>
      <c r="O12" s="37">
        <v>0</v>
      </c>
      <c r="P12" s="37">
        <v>0</v>
      </c>
      <c r="Q12" s="37">
        <v>30.307621774193528</v>
      </c>
      <c r="R12" s="37">
        <v>0</v>
      </c>
      <c r="S12" s="38">
        <f t="shared" ref="S12:V16" si="3">(X12+AC12)/2</f>
        <v>24.342100000000002</v>
      </c>
      <c r="T12" s="25">
        <f t="shared" si="3"/>
        <v>0</v>
      </c>
      <c r="U12" s="25">
        <f t="shared" si="3"/>
        <v>0</v>
      </c>
      <c r="V12" s="25">
        <f t="shared" si="3"/>
        <v>24.342105263157897</v>
      </c>
      <c r="W12" s="26">
        <f t="shared" si="1"/>
        <v>0</v>
      </c>
      <c r="X12" s="39">
        <f>ROUND(SUM(Y12:AB12),4)</f>
        <v>25</v>
      </c>
      <c r="Y12" s="37"/>
      <c r="Z12" s="37"/>
      <c r="AA12" s="37">
        <v>25</v>
      </c>
      <c r="AB12" s="37"/>
      <c r="AC12" s="39">
        <f>ROUND(SUM(AD12:AG12),4)</f>
        <v>23.684200000000001</v>
      </c>
      <c r="AD12" s="37"/>
      <c r="AE12" s="37"/>
      <c r="AF12" s="37">
        <v>23.684210526315791</v>
      </c>
      <c r="AG12" s="37"/>
      <c r="AH12" s="2"/>
      <c r="AI12" s="2"/>
      <c r="AJ12" s="2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s="9" customFormat="1" x14ac:dyDescent="0.2">
      <c r="A13" s="5"/>
      <c r="B13" s="32" t="s">
        <v>19</v>
      </c>
      <c r="C13" s="33" t="s">
        <v>14</v>
      </c>
      <c r="D13" s="38">
        <f t="shared" si="2"/>
        <v>4.9847999999999999</v>
      </c>
      <c r="E13" s="25">
        <f t="shared" si="2"/>
        <v>4.9847582894736835</v>
      </c>
      <c r="F13" s="25">
        <f t="shared" si="2"/>
        <v>0</v>
      </c>
      <c r="G13" s="25">
        <f t="shared" si="2"/>
        <v>0</v>
      </c>
      <c r="H13" s="26">
        <f t="shared" si="0"/>
        <v>0</v>
      </c>
      <c r="I13" s="39">
        <f>ROUND(SUM(J13:M13),4)</f>
        <v>4.9847999999999999</v>
      </c>
      <c r="J13" s="37">
        <v>4.9847582894736835</v>
      </c>
      <c r="K13" s="37">
        <v>0</v>
      </c>
      <c r="L13" s="37">
        <v>0</v>
      </c>
      <c r="M13" s="37">
        <v>0</v>
      </c>
      <c r="N13" s="39">
        <f>ROUND(SUM(O13:R13),4)</f>
        <v>4.9847999999999999</v>
      </c>
      <c r="O13" s="37">
        <v>4.9847582894736835</v>
      </c>
      <c r="P13" s="37">
        <v>0</v>
      </c>
      <c r="Q13" s="37">
        <v>0</v>
      </c>
      <c r="R13" s="37">
        <v>0</v>
      </c>
      <c r="S13" s="38">
        <f t="shared" si="3"/>
        <v>4.8684000000000003</v>
      </c>
      <c r="T13" s="25">
        <f t="shared" si="3"/>
        <v>4.8684210526315788</v>
      </c>
      <c r="U13" s="25">
        <f t="shared" si="3"/>
        <v>0</v>
      </c>
      <c r="V13" s="25">
        <f t="shared" si="3"/>
        <v>0</v>
      </c>
      <c r="W13" s="26">
        <f t="shared" si="1"/>
        <v>0</v>
      </c>
      <c r="X13" s="39">
        <f>ROUND(SUM(Y13:AB13),4)</f>
        <v>4.8684000000000003</v>
      </c>
      <c r="Y13" s="37">
        <v>4.8684210526315788</v>
      </c>
      <c r="Z13" s="37"/>
      <c r="AA13" s="37"/>
      <c r="AB13" s="37"/>
      <c r="AC13" s="39">
        <f>ROUND(SUM(AD13:AG13),4)</f>
        <v>4.8684000000000003</v>
      </c>
      <c r="AD13" s="37">
        <v>4.8684210526315788</v>
      </c>
      <c r="AE13" s="37"/>
      <c r="AF13" s="37"/>
      <c r="AG13" s="37"/>
      <c r="AH13" s="2"/>
      <c r="AI13" s="2"/>
      <c r="AJ13" s="2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s="9" customFormat="1" x14ac:dyDescent="0.2">
      <c r="A14" s="5"/>
      <c r="B14" s="32" t="s">
        <v>20</v>
      </c>
      <c r="C14" s="33" t="s">
        <v>14</v>
      </c>
      <c r="D14" s="38">
        <f t="shared" si="2"/>
        <v>75.658199999999994</v>
      </c>
      <c r="E14" s="25">
        <f t="shared" si="2"/>
        <v>45.865046719642351</v>
      </c>
      <c r="F14" s="25">
        <f t="shared" si="2"/>
        <v>24.71120128962043</v>
      </c>
      <c r="G14" s="25">
        <f t="shared" si="2"/>
        <v>4.8806097368421071</v>
      </c>
      <c r="H14" s="26">
        <f t="shared" si="0"/>
        <v>0.20131809523809513</v>
      </c>
      <c r="I14" s="39">
        <f>ROUND(SUM(J14:M14),4)</f>
        <v>75.658199999999994</v>
      </c>
      <c r="J14" s="37">
        <v>45.865046719642351</v>
      </c>
      <c r="K14" s="37">
        <v>24.71120128962043</v>
      </c>
      <c r="L14" s="37">
        <v>4.8806097368421071</v>
      </c>
      <c r="M14" s="37">
        <v>0.20131809523809513</v>
      </c>
      <c r="N14" s="39">
        <f>ROUND(SUM(O14:R14),4)</f>
        <v>75.658199999999994</v>
      </c>
      <c r="O14" s="37">
        <v>45.865046719642351</v>
      </c>
      <c r="P14" s="37">
        <v>24.71120128962043</v>
      </c>
      <c r="Q14" s="37">
        <v>4.8806097368421071</v>
      </c>
      <c r="R14" s="37">
        <v>0.20131809523809513</v>
      </c>
      <c r="S14" s="38">
        <f t="shared" si="3"/>
        <v>84.4208</v>
      </c>
      <c r="T14" s="25">
        <f t="shared" si="3"/>
        <v>45.997357973227821</v>
      </c>
      <c r="U14" s="25">
        <f t="shared" si="3"/>
        <v>32.681550487528824</v>
      </c>
      <c r="V14" s="25">
        <f t="shared" si="3"/>
        <v>5.2747999999999999</v>
      </c>
      <c r="W14" s="26">
        <f t="shared" si="1"/>
        <v>0.46710130262971244</v>
      </c>
      <c r="X14" s="39">
        <f>ROUND(SUM(Y14:AB14),4)</f>
        <v>83.758600000000001</v>
      </c>
      <c r="Y14" s="37">
        <v>46.316613237067038</v>
      </c>
      <c r="Z14" s="37">
        <v>31.698324845493303</v>
      </c>
      <c r="AA14" s="37">
        <v>5.2766000000000002</v>
      </c>
      <c r="AB14" s="37">
        <v>0.46710130262971244</v>
      </c>
      <c r="AC14" s="39">
        <f>ROUND(SUM(AD14:AG14),4)</f>
        <v>85.082999999999998</v>
      </c>
      <c r="AD14" s="37">
        <v>45.678102709388604</v>
      </c>
      <c r="AE14" s="37">
        <v>33.664776129564352</v>
      </c>
      <c r="AF14" s="37">
        <v>5.2729999999999997</v>
      </c>
      <c r="AG14" s="37">
        <v>0.46710130262971244</v>
      </c>
      <c r="AH14" s="2"/>
      <c r="AI14" s="2"/>
      <c r="AJ14" s="2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s="9" customFormat="1" x14ac:dyDescent="0.2">
      <c r="A15" s="5"/>
      <c r="B15" s="32" t="s">
        <v>21</v>
      </c>
      <c r="C15" s="33" t="s">
        <v>14</v>
      </c>
      <c r="D15" s="38">
        <f t="shared" si="2"/>
        <v>5.0799999999999998E-2</v>
      </c>
      <c r="E15" s="25">
        <f t="shared" si="2"/>
        <v>0</v>
      </c>
      <c r="F15" s="25">
        <f t="shared" si="2"/>
        <v>0</v>
      </c>
      <c r="G15" s="25">
        <f t="shared" si="2"/>
        <v>5.0796046511627911E-2</v>
      </c>
      <c r="H15" s="26">
        <f t="shared" si="0"/>
        <v>0</v>
      </c>
      <c r="I15" s="39">
        <f>ROUND(SUM(J15:M15),4)</f>
        <v>5.0799999999999998E-2</v>
      </c>
      <c r="J15" s="37">
        <v>0</v>
      </c>
      <c r="K15" s="37">
        <v>0</v>
      </c>
      <c r="L15" s="37">
        <v>5.0796046511627911E-2</v>
      </c>
      <c r="M15" s="37">
        <v>0</v>
      </c>
      <c r="N15" s="39">
        <f>ROUND(SUM(O15:R15),4)</f>
        <v>5.0799999999999998E-2</v>
      </c>
      <c r="O15" s="37">
        <v>0</v>
      </c>
      <c r="P15" s="37">
        <v>0</v>
      </c>
      <c r="Q15" s="37">
        <v>5.0796046511627911E-2</v>
      </c>
      <c r="R15" s="37">
        <v>0</v>
      </c>
      <c r="S15" s="38">
        <f t="shared" si="3"/>
        <v>4.65E-2</v>
      </c>
      <c r="T15" s="25">
        <f t="shared" si="3"/>
        <v>0</v>
      </c>
      <c r="U15" s="25">
        <f t="shared" si="3"/>
        <v>0</v>
      </c>
      <c r="V15" s="25">
        <f t="shared" si="3"/>
        <v>4.651162790697675E-2</v>
      </c>
      <c r="W15" s="26">
        <f t="shared" si="1"/>
        <v>0</v>
      </c>
      <c r="X15" s="39">
        <f>ROUND(SUM(Y15:AB15),4)</f>
        <v>4.65E-2</v>
      </c>
      <c r="Y15" s="37"/>
      <c r="Z15" s="37"/>
      <c r="AA15" s="37">
        <v>4.651162790697675E-2</v>
      </c>
      <c r="AB15" s="37"/>
      <c r="AC15" s="39">
        <f>ROUND(SUM(AD15:AG15),4)</f>
        <v>4.65E-2</v>
      </c>
      <c r="AD15" s="37"/>
      <c r="AE15" s="37"/>
      <c r="AF15" s="37">
        <v>4.651162790697675E-2</v>
      </c>
      <c r="AG15" s="37"/>
      <c r="AH15" s="2"/>
      <c r="AI15" s="2"/>
      <c r="AJ15" s="2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s="9" customFormat="1" x14ac:dyDescent="0.2">
      <c r="A16" s="5"/>
      <c r="B16" s="187" t="s">
        <v>22</v>
      </c>
      <c r="C16" s="40" t="s">
        <v>14</v>
      </c>
      <c r="D16" s="41">
        <f t="shared" si="2"/>
        <v>2.8220528114999999</v>
      </c>
      <c r="E16" s="28">
        <f t="shared" si="2"/>
        <v>0.81847838080000002</v>
      </c>
      <c r="F16" s="28">
        <f t="shared" si="2"/>
        <v>0.77835337760000001</v>
      </c>
      <c r="G16" s="28">
        <f t="shared" si="2"/>
        <v>0.91624042949999984</v>
      </c>
      <c r="H16" s="42">
        <f t="shared" si="0"/>
        <v>0.3089806236</v>
      </c>
      <c r="I16" s="39">
        <f>SUM(J16:M16)</f>
        <v>2.8220528114999999</v>
      </c>
      <c r="J16" s="28">
        <f>J6*J17/100</f>
        <v>0.81847838080000002</v>
      </c>
      <c r="K16" s="28">
        <f>K6*K17/100</f>
        <v>0.77835337760000001</v>
      </c>
      <c r="L16" s="28">
        <f>L6*L17/100</f>
        <v>0.91624042949999984</v>
      </c>
      <c r="M16" s="42">
        <f>M6*M17/100</f>
        <v>0.3089806236</v>
      </c>
      <c r="N16" s="39">
        <f>SUM(O16:R16)</f>
        <v>2.8220528114999999</v>
      </c>
      <c r="O16" s="28">
        <f>O6*O17/100</f>
        <v>0.81847838080000002</v>
      </c>
      <c r="P16" s="28">
        <f>P6*P17/100</f>
        <v>0.77835337760000001</v>
      </c>
      <c r="Q16" s="28">
        <f>Q6*Q17/100</f>
        <v>0.91624042949999984</v>
      </c>
      <c r="R16" s="42">
        <f>R6*R17/100</f>
        <v>0.3089806236</v>
      </c>
      <c r="S16" s="41">
        <f t="shared" si="3"/>
        <v>3.2725619378582622</v>
      </c>
      <c r="T16" s="28">
        <f t="shared" si="3"/>
        <v>0.81873511200000004</v>
      </c>
      <c r="U16" s="28">
        <f t="shared" si="3"/>
        <v>1.0294034619000001</v>
      </c>
      <c r="V16" s="28">
        <f t="shared" si="3"/>
        <v>0.97510998760292578</v>
      </c>
      <c r="W16" s="42">
        <f t="shared" si="1"/>
        <v>0.44931337635533664</v>
      </c>
      <c r="X16" s="39">
        <f>SUM(Y16:AB16)</f>
        <v>3.2469794829469318</v>
      </c>
      <c r="Y16" s="28">
        <f>Y6*Y17/100</f>
        <v>0.82387376000000001</v>
      </c>
      <c r="Z16" s="28">
        <f>Z6*Z17/100</f>
        <v>0.99843305339999999</v>
      </c>
      <c r="AA16" s="28">
        <f>AA6*AA17/100</f>
        <v>0.97536434077896428</v>
      </c>
      <c r="AB16" s="42">
        <f>AB6*AB17/100</f>
        <v>0.44930832876796778</v>
      </c>
      <c r="AC16" s="39">
        <f>SUM(AD16:AG16)</f>
        <v>3.2981443927695926</v>
      </c>
      <c r="AD16" s="28">
        <f>AD6*AD17/100</f>
        <v>0.81359646400000007</v>
      </c>
      <c r="AE16" s="28">
        <f>AE6*AE17/100</f>
        <v>1.0603738704000001</v>
      </c>
      <c r="AF16" s="28">
        <f>AF6*AF17/100</f>
        <v>0.97485563442688727</v>
      </c>
      <c r="AG16" s="42">
        <f>AG6*AG17/100</f>
        <v>0.44931842394270549</v>
      </c>
      <c r="AH16" s="2"/>
      <c r="AI16" s="2"/>
      <c r="AJ16" s="2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s="9" customFormat="1" x14ac:dyDescent="0.2">
      <c r="A17" s="5"/>
      <c r="B17" s="188"/>
      <c r="C17" s="43" t="s">
        <v>23</v>
      </c>
      <c r="D17" s="38">
        <f>IF(D6=0,0,D16/D6*100)</f>
        <v>2.542357854495529</v>
      </c>
      <c r="E17" s="25">
        <f>ROUND(IFERROR(E16/E6*100,0),4)</f>
        <v>1.6095999999999999</v>
      </c>
      <c r="F17" s="25">
        <f>ROUND(IFERROR(F16/F6*100,0),4)</f>
        <v>3.1497999999999999</v>
      </c>
      <c r="G17" s="25">
        <f>ROUND(IFERROR(G16/G6*100,0),4)</f>
        <v>2.2780999999999998</v>
      </c>
      <c r="H17" s="25">
        <f>ROUND(IFERROR(H16/H6*100,0),4)</f>
        <v>6.0587999999999997</v>
      </c>
      <c r="I17" s="38">
        <f>I16/I6*100</f>
        <v>2.542357854495529</v>
      </c>
      <c r="J17" s="25">
        <f>'[1]19г балансЭЭ'!J34</f>
        <v>1.6095999999999999</v>
      </c>
      <c r="K17" s="25">
        <f>'[1]19г балансЭЭ'!K34</f>
        <v>3.1497999999999999</v>
      </c>
      <c r="L17" s="25">
        <f>'[1]19г балансЭЭ'!L34</f>
        <v>2.2780999999999998</v>
      </c>
      <c r="M17" s="25">
        <f>'[1]19г балансЭЭ'!M34</f>
        <v>6.0587999999999997</v>
      </c>
      <c r="N17" s="38">
        <f>N16/N6*100</f>
        <v>2.542357854495529</v>
      </c>
      <c r="O17" s="25">
        <f>'[1]19г балансЭЭ'!O34</f>
        <v>1.6095999999999999</v>
      </c>
      <c r="P17" s="25">
        <f>'[1]19г балансЭЭ'!P34</f>
        <v>3.1497999999999999</v>
      </c>
      <c r="Q17" s="25">
        <f>'[1]19г балансЭЭ'!Q34</f>
        <v>2.2780999999999998</v>
      </c>
      <c r="R17" s="25">
        <f>'[1]19г балансЭЭ'!R34</f>
        <v>6.0587999999999997</v>
      </c>
      <c r="S17" s="38">
        <f>IF(S6=0,0,S16/S6*100)</f>
        <v>2.8788047779410424</v>
      </c>
      <c r="T17" s="25">
        <f>'[1]19г балансЭЭ'!T34</f>
        <v>1.6095999999999999</v>
      </c>
      <c r="U17" s="25">
        <f>'[1]19г балансЭЭ'!U34</f>
        <v>3.1497999999999999</v>
      </c>
      <c r="V17" s="25">
        <f>'[1]19г балансЭЭ'!V34</f>
        <v>2.2780999999999998</v>
      </c>
      <c r="W17" s="25">
        <f>'[1]19г балансЭЭ'!W34</f>
        <v>6.0587999999999997</v>
      </c>
      <c r="X17" s="38">
        <f>X16/X6*100</f>
        <v>2.8564084707050732</v>
      </c>
      <c r="Y17" s="25">
        <f>'[1]19г балансЭЭ'!Y34</f>
        <v>1.6095999999999999</v>
      </c>
      <c r="Z17" s="25">
        <f>'[1]19г балансЭЭ'!Z34</f>
        <v>3.1497999999999999</v>
      </c>
      <c r="AA17" s="25">
        <f>'[1]19г балансЭЭ'!AA34</f>
        <v>2.2780999999999998</v>
      </c>
      <c r="AB17" s="25">
        <f>'[1]19г балансЭЭ'!AB34</f>
        <v>6.0587616457703506</v>
      </c>
      <c r="AC17" s="38">
        <f>AC16/AC6*100</f>
        <v>2.9011993909063891</v>
      </c>
      <c r="AD17" s="25">
        <f>'[1]19г балансЭЭ'!AD34</f>
        <v>1.6095999999999999</v>
      </c>
      <c r="AE17" s="25">
        <f>'[1]19г балансЭЭ'!AE34</f>
        <v>3.1497999999999999</v>
      </c>
      <c r="AF17" s="25">
        <f>'[1]19г балансЭЭ'!AF34</f>
        <v>2.2780999999999998</v>
      </c>
      <c r="AG17" s="25">
        <f>'[1]19г балансЭЭ'!AG34</f>
        <v>6.0588337090394795</v>
      </c>
      <c r="AH17" s="2"/>
      <c r="AI17" s="2"/>
      <c r="AJ17" s="2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s="9" customFormat="1" x14ac:dyDescent="0.2">
      <c r="A18" s="5"/>
      <c r="B18" s="44" t="s">
        <v>24</v>
      </c>
      <c r="C18" s="45" t="s">
        <v>14</v>
      </c>
      <c r="D18" s="41">
        <f t="shared" ref="D18:H22" si="4">(I18+N18)/2</f>
        <v>0</v>
      </c>
      <c r="E18" s="28">
        <f t="shared" si="4"/>
        <v>0</v>
      </c>
      <c r="F18" s="28">
        <f t="shared" si="4"/>
        <v>0</v>
      </c>
      <c r="G18" s="28">
        <f t="shared" si="4"/>
        <v>0</v>
      </c>
      <c r="H18" s="42">
        <f t="shared" si="4"/>
        <v>0</v>
      </c>
      <c r="I18" s="39">
        <f>ROUND(SUM(J18:M18),4)</f>
        <v>0</v>
      </c>
      <c r="J18" s="37"/>
      <c r="K18" s="37"/>
      <c r="L18" s="37"/>
      <c r="M18" s="37"/>
      <c r="N18" s="39">
        <f>ROUND(SUM(O18:R18),4)</f>
        <v>0</v>
      </c>
      <c r="O18" s="37"/>
      <c r="P18" s="37"/>
      <c r="Q18" s="37"/>
      <c r="R18" s="37"/>
      <c r="S18" s="41">
        <f t="shared" ref="S18:W22" si="5">(X18+AC18)/2</f>
        <v>52.168599999999998</v>
      </c>
      <c r="T18" s="28">
        <f t="shared" si="5"/>
        <v>12.181009488853462</v>
      </c>
      <c r="U18" s="28">
        <f t="shared" si="5"/>
        <v>6.448084420773827</v>
      </c>
      <c r="V18" s="28">
        <f t="shared" si="5"/>
        <v>28.572903296356845</v>
      </c>
      <c r="W18" s="42">
        <f t="shared" si="5"/>
        <v>4.9666185094964188</v>
      </c>
      <c r="X18" s="39">
        <f>ROUND(SUM(Y18:AB18),4)</f>
        <v>52.168599999999998</v>
      </c>
      <c r="Y18" s="37">
        <v>12.181009488853462</v>
      </c>
      <c r="Z18" s="37">
        <v>6.448084420773827</v>
      </c>
      <c r="AA18" s="37">
        <v>28.572903296356845</v>
      </c>
      <c r="AB18" s="37">
        <v>4.9666185094964188</v>
      </c>
      <c r="AC18" s="39">
        <f>ROUND(SUM(AD18:AG18),4)</f>
        <v>52.168599999999998</v>
      </c>
      <c r="AD18" s="37">
        <v>12.181009488853462</v>
      </c>
      <c r="AE18" s="37">
        <v>6.448084420773827</v>
      </c>
      <c r="AF18" s="37">
        <v>28.572903296356845</v>
      </c>
      <c r="AG18" s="37">
        <v>4.9666185094964188</v>
      </c>
      <c r="AH18" s="2"/>
      <c r="AI18" s="2"/>
      <c r="AJ18" s="2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s="9" customFormat="1" x14ac:dyDescent="0.2">
      <c r="A19" s="5"/>
      <c r="B19" s="46" t="s">
        <v>25</v>
      </c>
      <c r="C19" s="47" t="s">
        <v>14</v>
      </c>
      <c r="D19" s="41">
        <f t="shared" si="4"/>
        <v>108.1793471885</v>
      </c>
      <c r="E19" s="28">
        <f t="shared" si="4"/>
        <v>47.502499999999998</v>
      </c>
      <c r="F19" s="28">
        <f t="shared" si="4"/>
        <v>21.481100000000001</v>
      </c>
      <c r="G19" s="28">
        <f t="shared" si="4"/>
        <v>34.404899999999998</v>
      </c>
      <c r="H19" s="42">
        <f t="shared" si="4"/>
        <v>4.7929000000000004</v>
      </c>
      <c r="I19" s="39">
        <f>I6-I16-I18</f>
        <v>108.1793471885</v>
      </c>
      <c r="J19" s="28">
        <f>ROUND(J20+J21+J22,4)</f>
        <v>47.502499999999998</v>
      </c>
      <c r="K19" s="28">
        <f>ROUND(K20+K21+K22,4)</f>
        <v>21.481100000000001</v>
      </c>
      <c r="L19" s="28">
        <f>ROUND(L20+L21+L22,4)</f>
        <v>34.404899999999998</v>
      </c>
      <c r="M19" s="29">
        <f>ROUND(M20+M21+M22,4)</f>
        <v>4.7929000000000004</v>
      </c>
      <c r="N19" s="39">
        <f>N6-N16-N18</f>
        <v>108.1793471885</v>
      </c>
      <c r="O19" s="28">
        <f>ROUND(O20+O21+O22,4)</f>
        <v>47.502499999999998</v>
      </c>
      <c r="P19" s="28">
        <f>ROUND(P20+P21+P22,4)</f>
        <v>21.481100000000001</v>
      </c>
      <c r="Q19" s="28">
        <f>ROUND(Q20+Q21+Q22,4)</f>
        <v>34.404899999999998</v>
      </c>
      <c r="R19" s="29">
        <f>ROUND(R20+R21+R22,4)</f>
        <v>4.7929000000000004</v>
      </c>
      <c r="S19" s="41">
        <f t="shared" si="5"/>
        <v>58.236616659859706</v>
      </c>
      <c r="T19" s="28">
        <f t="shared" si="5"/>
        <v>34.347231518650474</v>
      </c>
      <c r="U19" s="28">
        <f t="shared" si="5"/>
        <v>15.582577386296938</v>
      </c>
      <c r="V19" s="28">
        <f t="shared" si="5"/>
        <v>6.3068561558800003</v>
      </c>
      <c r="W19" s="42">
        <f t="shared" si="5"/>
        <v>1.9999515990322929</v>
      </c>
      <c r="X19" s="39">
        <f>SUM(Y19:AB19)</f>
        <v>58.257882499613146</v>
      </c>
      <c r="Y19" s="28">
        <f>Y22+Y21+Y20</f>
        <v>34.357581518650477</v>
      </c>
      <c r="Z19" s="28">
        <f>Z22+Z21+Z20</f>
        <v>15.582577386296938</v>
      </c>
      <c r="AA19" s="28">
        <f>AA22+AA21+AA20</f>
        <v>6.3178061558800005</v>
      </c>
      <c r="AB19" s="28">
        <f>AB6-AB16-AB18</f>
        <v>1.9999174387857268</v>
      </c>
      <c r="AC19" s="39">
        <f>SUM(AD19:AG19)</f>
        <v>58.215350820106273</v>
      </c>
      <c r="AD19" s="28">
        <f>AD22+AD21+AD20</f>
        <v>34.336881518650479</v>
      </c>
      <c r="AE19" s="28">
        <f>AE22+AE21+AE20</f>
        <v>15.582577386296938</v>
      </c>
      <c r="AF19" s="28">
        <f>AF22+AF21+AF20</f>
        <v>6.29590615588</v>
      </c>
      <c r="AG19" s="29">
        <f>AG6-AG16-AG18</f>
        <v>1.999985759278859</v>
      </c>
      <c r="AH19" s="2"/>
      <c r="AI19" s="2"/>
      <c r="AJ19" s="2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s="9" customFormat="1" x14ac:dyDescent="0.2">
      <c r="A20" s="5"/>
      <c r="B20" s="48" t="s">
        <v>26</v>
      </c>
      <c r="C20" s="33" t="s">
        <v>14</v>
      </c>
      <c r="D20" s="38">
        <f t="shared" si="4"/>
        <v>2.3467797676136826E-2</v>
      </c>
      <c r="E20" s="25">
        <f t="shared" si="4"/>
        <v>0</v>
      </c>
      <c r="F20" s="25">
        <f t="shared" si="4"/>
        <v>0</v>
      </c>
      <c r="G20" s="25">
        <f t="shared" si="4"/>
        <v>0</v>
      </c>
      <c r="H20" s="26">
        <f t="shared" si="4"/>
        <v>2.3467797676136826E-2</v>
      </c>
      <c r="I20" s="39">
        <f>SUM(J20:M20)</f>
        <v>2.3467797676136826E-2</v>
      </c>
      <c r="J20" s="37">
        <v>0</v>
      </c>
      <c r="K20" s="37">
        <v>0</v>
      </c>
      <c r="L20" s="37">
        <v>0</v>
      </c>
      <c r="M20" s="37">
        <v>2.3467797676136826E-2</v>
      </c>
      <c r="N20" s="39">
        <f>SUM(O20:R20)</f>
        <v>2.3467797676136826E-2</v>
      </c>
      <c r="O20" s="37">
        <v>0</v>
      </c>
      <c r="P20" s="37">
        <v>0</v>
      </c>
      <c r="Q20" s="37">
        <v>0</v>
      </c>
      <c r="R20" s="37">
        <v>2.3467797676136826E-2</v>
      </c>
      <c r="S20" s="38">
        <f t="shared" si="5"/>
        <v>2.6999515990322931</v>
      </c>
      <c r="T20" s="25">
        <f t="shared" si="5"/>
        <v>0</v>
      </c>
      <c r="U20" s="25">
        <f t="shared" si="5"/>
        <v>0</v>
      </c>
      <c r="V20" s="25">
        <f t="shared" si="5"/>
        <v>0.7</v>
      </c>
      <c r="W20" s="26">
        <f t="shared" si="5"/>
        <v>1.9999515990322929</v>
      </c>
      <c r="X20" s="39">
        <f>SUM(Y20:AB20)</f>
        <v>2.699917438785727</v>
      </c>
      <c r="Y20" s="37"/>
      <c r="Z20" s="37"/>
      <c r="AA20" s="37">
        <v>0.7</v>
      </c>
      <c r="AB20" s="26">
        <f>AB19-AB21-AB22</f>
        <v>1.9999174387857268</v>
      </c>
      <c r="AC20" s="39">
        <f>SUM(AD20:AG20)</f>
        <v>2.6999857592788592</v>
      </c>
      <c r="AD20" s="37"/>
      <c r="AE20" s="37"/>
      <c r="AF20" s="37">
        <v>0.7</v>
      </c>
      <c r="AG20" s="26">
        <f>AG19-AG21-AG22</f>
        <v>1.999985759278859</v>
      </c>
      <c r="AH20" s="2"/>
      <c r="AI20" s="2"/>
      <c r="AJ20" s="2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9" customFormat="1" ht="13.5" thickBot="1" x14ac:dyDescent="0.25">
      <c r="A21" s="5"/>
      <c r="B21" s="49" t="s">
        <v>27</v>
      </c>
      <c r="C21" s="50" t="s">
        <v>14</v>
      </c>
      <c r="D21" s="51">
        <f t="shared" si="4"/>
        <v>57.243899999999996</v>
      </c>
      <c r="E21" s="52">
        <f t="shared" si="4"/>
        <v>36.106746866650482</v>
      </c>
      <c r="F21" s="52">
        <f t="shared" si="4"/>
        <v>15.582577386296938</v>
      </c>
      <c r="G21" s="52">
        <f t="shared" si="4"/>
        <v>5.357977512862103</v>
      </c>
      <c r="H21" s="53">
        <f t="shared" si="4"/>
        <v>0.19663627906979286</v>
      </c>
      <c r="I21" s="54">
        <f>ROUND(SUM(J21:M21),4)</f>
        <v>57.243899999999996</v>
      </c>
      <c r="J21" s="37">
        <v>36.106746866650482</v>
      </c>
      <c r="K21" s="37">
        <v>15.582577386296938</v>
      </c>
      <c r="L21" s="37">
        <v>5.357977512862103</v>
      </c>
      <c r="M21" s="37">
        <v>0.19663627906979286</v>
      </c>
      <c r="N21" s="54">
        <f>ROUND(SUM(O21:R21),4)</f>
        <v>57.243899999999996</v>
      </c>
      <c r="O21" s="37">
        <v>36.106746866650482</v>
      </c>
      <c r="P21" s="37">
        <v>15.582577386296938</v>
      </c>
      <c r="Q21" s="37">
        <v>5.357977512862103</v>
      </c>
      <c r="R21" s="37">
        <v>0.19663627906979286</v>
      </c>
      <c r="S21" s="51">
        <f t="shared" si="5"/>
        <v>55.536699999999996</v>
      </c>
      <c r="T21" s="52">
        <f t="shared" si="5"/>
        <v>34.347231518650474</v>
      </c>
      <c r="U21" s="52">
        <f t="shared" si="5"/>
        <v>15.582577386296938</v>
      </c>
      <c r="V21" s="52">
        <f t="shared" si="5"/>
        <v>5.6068561558800001</v>
      </c>
      <c r="W21" s="53">
        <f t="shared" si="5"/>
        <v>0</v>
      </c>
      <c r="X21" s="54">
        <f>ROUND(SUM(Y21:AB21),4)</f>
        <v>55.558</v>
      </c>
      <c r="Y21" s="37">
        <v>34.357581518650477</v>
      </c>
      <c r="Z21" s="37">
        <v>15.582577386296938</v>
      </c>
      <c r="AA21" s="37">
        <v>5.6178061558800003</v>
      </c>
      <c r="AB21" s="37">
        <v>0</v>
      </c>
      <c r="AC21" s="39">
        <f>ROUND(SUM(AD21:AG21),4)</f>
        <v>55.5154</v>
      </c>
      <c r="AD21" s="37">
        <v>34.336881518650479</v>
      </c>
      <c r="AE21" s="37">
        <v>15.582577386296938</v>
      </c>
      <c r="AF21" s="37">
        <v>5.5959061558799998</v>
      </c>
      <c r="AG21" s="37">
        <v>0</v>
      </c>
      <c r="AH21" s="2"/>
      <c r="AI21" s="2"/>
      <c r="AJ21" s="2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9" customFormat="1" ht="13.5" thickBot="1" x14ac:dyDescent="0.25">
      <c r="A22" s="5"/>
      <c r="B22" s="55" t="s">
        <v>28</v>
      </c>
      <c r="C22" s="56" t="s">
        <v>14</v>
      </c>
      <c r="D22" s="57">
        <f t="shared" si="4"/>
        <v>50.914200000000001</v>
      </c>
      <c r="E22" s="58">
        <f t="shared" si="4"/>
        <v>11.395800444444442</v>
      </c>
      <c r="F22" s="58">
        <f t="shared" si="4"/>
        <v>5.8985723999999999</v>
      </c>
      <c r="G22" s="58">
        <f t="shared" si="4"/>
        <v>29.046966903225801</v>
      </c>
      <c r="H22" s="59">
        <f t="shared" si="4"/>
        <v>4.5728279354838737</v>
      </c>
      <c r="I22" s="60">
        <f>ROUND(SUM(J22:M22),4)</f>
        <v>50.914200000000001</v>
      </c>
      <c r="J22" s="37">
        <v>11.395800444444442</v>
      </c>
      <c r="K22" s="37">
        <v>5.8985723999999999</v>
      </c>
      <c r="L22" s="37">
        <v>29.046966903225801</v>
      </c>
      <c r="M22" s="37">
        <v>4.5728279354838737</v>
      </c>
      <c r="N22" s="60">
        <f>ROUND(SUM(O22:R22),4)</f>
        <v>50.914200000000001</v>
      </c>
      <c r="O22" s="37">
        <v>11.395800444444442</v>
      </c>
      <c r="P22" s="37">
        <v>5.8985723999999999</v>
      </c>
      <c r="Q22" s="37">
        <v>29.046966903225801</v>
      </c>
      <c r="R22" s="37">
        <v>4.5728279354838737</v>
      </c>
      <c r="S22" s="57">
        <f t="shared" si="5"/>
        <v>0</v>
      </c>
      <c r="T22" s="58">
        <f t="shared" si="5"/>
        <v>0</v>
      </c>
      <c r="U22" s="58">
        <f t="shared" si="5"/>
        <v>0</v>
      </c>
      <c r="V22" s="58">
        <f t="shared" si="5"/>
        <v>0</v>
      </c>
      <c r="W22" s="59">
        <f t="shared" si="5"/>
        <v>0</v>
      </c>
      <c r="X22" s="60">
        <f>ROUND(SUM(Y22:AB22),4)</f>
        <v>0</v>
      </c>
      <c r="Y22" s="37"/>
      <c r="Z22" s="37"/>
      <c r="AA22" s="37"/>
      <c r="AB22" s="37"/>
      <c r="AC22" s="39">
        <f>ROUND(SUM(AD22:AG22),4)</f>
        <v>0</v>
      </c>
      <c r="AD22" s="37"/>
      <c r="AE22" s="37"/>
      <c r="AF22" s="37"/>
      <c r="AG22" s="37"/>
      <c r="AH22" s="2"/>
      <c r="AI22" s="2"/>
      <c r="AJ22" s="2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70" customFormat="1" ht="13.5" thickBot="1" x14ac:dyDescent="0.25">
      <c r="A23" s="61"/>
      <c r="B23" s="62" t="s">
        <v>29</v>
      </c>
      <c r="C23" s="63" t="s">
        <v>16</v>
      </c>
      <c r="D23" s="64">
        <f>D19-D20-D21-D22</f>
        <v>-2.2206091761276525E-3</v>
      </c>
      <c r="E23" s="65">
        <f>E19-E20-E21-E22</f>
        <v>-4.7311094926172359E-5</v>
      </c>
      <c r="F23" s="65">
        <f>F19-F20-F21-F22</f>
        <v>-4.9786296936638053E-5</v>
      </c>
      <c r="G23" s="65">
        <f>G19-G20-G21-G22</f>
        <v>-4.4416087906284929E-5</v>
      </c>
      <c r="H23" s="66">
        <f>H19-H20-H21-H22</f>
        <v>-3.201222980298013E-5</v>
      </c>
      <c r="I23" s="63" t="s">
        <v>16</v>
      </c>
      <c r="J23" s="65">
        <f>ROUND(J6-J16-J18-J20-J21-J22-K9-L9-M9,4)</f>
        <v>0</v>
      </c>
      <c r="K23" s="65">
        <f>ROUND(K6-K16-K18-K20-K21-K22-L10-M10,4)</f>
        <v>0</v>
      </c>
      <c r="L23" s="65">
        <f>ROUND(L6-L16-L18-L20-L21-L22-M11,4)</f>
        <v>-1E-4</v>
      </c>
      <c r="M23" s="67">
        <f>ROUND(M6-M16-M18-M20-M21-M22,4)</f>
        <v>-2.2000000000000001E-3</v>
      </c>
      <c r="N23" s="63" t="s">
        <v>16</v>
      </c>
      <c r="O23" s="65">
        <f>ROUND(O6-O16-O18-O20-O21-O22-P9-Q9-R9,4)</f>
        <v>0</v>
      </c>
      <c r="P23" s="65">
        <f>ROUND(P6-P16-P18-P20-P21-P22-Q10-R10,4)</f>
        <v>0</v>
      </c>
      <c r="Q23" s="65">
        <f>ROUND(Q6-Q16-Q18-Q20-Q21-Q22-R11,4)</f>
        <v>-1E-4</v>
      </c>
      <c r="R23" s="67">
        <f>ROUND(R6-R16-R18-R20-R21-R22,4)</f>
        <v>-2.2000000000000001E-3</v>
      </c>
      <c r="S23" s="63" t="s">
        <v>16</v>
      </c>
      <c r="T23" s="65">
        <f>T19-T20-T21-T22</f>
        <v>0</v>
      </c>
      <c r="U23" s="65">
        <f>U19-U20-U21-U22</f>
        <v>0</v>
      </c>
      <c r="V23" s="65">
        <f>V19-V20-V21-V22</f>
        <v>0</v>
      </c>
      <c r="W23" s="66">
        <f>W19-W20-W21-W22</f>
        <v>0</v>
      </c>
      <c r="X23" s="63" t="s">
        <v>16</v>
      </c>
      <c r="Y23" s="65">
        <f>ROUND(Y6-Y16-Y18-Y20-Y21-Y22-Z9-AA9-AB9,4)</f>
        <v>0</v>
      </c>
      <c r="Z23" s="65">
        <f>ROUND(Z6-Z16-Z18-Z20-Z21-Z22-AA10-AB10,4)</f>
        <v>0</v>
      </c>
      <c r="AA23" s="65">
        <f>ROUND(AA6-AA16-AA18-AA20-AA21-AA22-AB11,4)</f>
        <v>0</v>
      </c>
      <c r="AB23" s="67">
        <f>ROUND(AB6-AB16-AB18-AB20-AB21-AB22,4)</f>
        <v>0</v>
      </c>
      <c r="AC23" s="63" t="s">
        <v>16</v>
      </c>
      <c r="AD23" s="65">
        <f>ROUND(AD6-AD16-AD18-AD20-AD21-AD22-AE9-AF9-AG9,4)</f>
        <v>0</v>
      </c>
      <c r="AE23" s="65">
        <f>ROUND(AE6-AE16-AE18-AE20-AE21-AE22-AF10-AG10,4)</f>
        <v>0</v>
      </c>
      <c r="AF23" s="65">
        <f>ROUND(AF6-AF16-AF18-AF20-AF21-AF22-AG11,4)</f>
        <v>0</v>
      </c>
      <c r="AG23" s="67">
        <f>ROUND(AG6-AG16-AG18-AG20-AG21-AG22,4)</f>
        <v>0</v>
      </c>
      <c r="AH23" s="68"/>
      <c r="AI23" s="68"/>
      <c r="AJ23" s="68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</row>
    <row r="24" spans="1:48" s="9" customFormat="1" x14ac:dyDescent="0.2">
      <c r="A24" s="5"/>
      <c r="B24" s="71"/>
      <c r="C24" s="72"/>
      <c r="D24" s="73"/>
      <c r="E24" s="74"/>
      <c r="F24" s="74"/>
      <c r="G24" s="74"/>
      <c r="H24" s="74"/>
      <c r="I24" s="73"/>
      <c r="J24" s="75"/>
      <c r="K24" s="75"/>
      <c r="L24" s="75"/>
      <c r="M24" s="75"/>
      <c r="N24" s="73"/>
      <c r="O24" s="75"/>
      <c r="P24" s="75"/>
      <c r="Q24" s="75"/>
      <c r="R24" s="75"/>
      <c r="S24" s="73"/>
      <c r="T24" s="74"/>
      <c r="U24" s="74"/>
      <c r="V24" s="74"/>
      <c r="W24" s="74"/>
      <c r="X24" s="73"/>
      <c r="Y24" s="75"/>
      <c r="Z24" s="75"/>
      <c r="AA24" s="75"/>
      <c r="AB24" s="75"/>
      <c r="AC24" s="73"/>
      <c r="AD24" s="75"/>
      <c r="AE24" s="75"/>
      <c r="AF24" s="75"/>
      <c r="AG24" s="75"/>
      <c r="AH24" s="2"/>
      <c r="AI24" s="2"/>
      <c r="AJ24" s="2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9" customFormat="1" x14ac:dyDescent="0.2">
      <c r="A25" s="5"/>
      <c r="B25" s="6" t="s">
        <v>30</v>
      </c>
      <c r="C25" s="72"/>
      <c r="D25" s="73"/>
      <c r="E25" s="74"/>
      <c r="F25" s="74"/>
      <c r="G25" s="74"/>
      <c r="H25" s="74"/>
      <c r="I25" s="73"/>
      <c r="J25" s="75"/>
      <c r="K25" s="75"/>
      <c r="L25" s="75"/>
      <c r="M25" s="75"/>
      <c r="N25" s="73"/>
      <c r="O25" s="75"/>
      <c r="P25" s="75"/>
      <c r="Q25" s="75"/>
      <c r="R25" s="75"/>
      <c r="S25" s="73"/>
      <c r="T25" s="74"/>
      <c r="U25" s="74"/>
      <c r="V25" s="74"/>
      <c r="W25" s="74"/>
      <c r="X25" s="73"/>
      <c r="Y25" s="75"/>
      <c r="Z25" s="75"/>
      <c r="AA25" s="75"/>
      <c r="AB25" s="75"/>
      <c r="AC25" s="73"/>
      <c r="AD25" s="75"/>
      <c r="AE25" s="75"/>
      <c r="AF25" s="75"/>
      <c r="AG25" s="75"/>
      <c r="AH25" s="2"/>
      <c r="AI25" s="2"/>
      <c r="AJ25" s="2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9" customFormat="1" ht="13.5" thickBot="1" x14ac:dyDescent="0.25">
      <c r="A26" s="5"/>
      <c r="B26" s="5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"/>
      <c r="AI26" s="2"/>
      <c r="AJ26" s="2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9" customFormat="1" x14ac:dyDescent="0.2">
      <c r="A27" s="5"/>
      <c r="B27" s="176" t="s">
        <v>1</v>
      </c>
      <c r="C27" s="176" t="s">
        <v>31</v>
      </c>
      <c r="D27" s="179" t="s">
        <v>3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1"/>
      <c r="S27" s="182" t="s">
        <v>4</v>
      </c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4"/>
      <c r="AH27" s="2"/>
      <c r="AI27" s="2"/>
      <c r="AJ27" s="2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9" customFormat="1" x14ac:dyDescent="0.2">
      <c r="A28" s="5"/>
      <c r="B28" s="177"/>
      <c r="C28" s="177"/>
      <c r="D28" s="185" t="s">
        <v>5</v>
      </c>
      <c r="E28" s="171"/>
      <c r="F28" s="171"/>
      <c r="G28" s="171"/>
      <c r="H28" s="171"/>
      <c r="I28" s="171" t="s">
        <v>6</v>
      </c>
      <c r="J28" s="171"/>
      <c r="K28" s="171"/>
      <c r="L28" s="171"/>
      <c r="M28" s="171"/>
      <c r="N28" s="171" t="s">
        <v>7</v>
      </c>
      <c r="O28" s="171"/>
      <c r="P28" s="171"/>
      <c r="Q28" s="171"/>
      <c r="R28" s="186"/>
      <c r="S28" s="185" t="s">
        <v>5</v>
      </c>
      <c r="T28" s="171"/>
      <c r="U28" s="171"/>
      <c r="V28" s="171"/>
      <c r="W28" s="171"/>
      <c r="X28" s="171" t="s">
        <v>6</v>
      </c>
      <c r="Y28" s="171"/>
      <c r="Z28" s="171"/>
      <c r="AA28" s="171"/>
      <c r="AB28" s="171"/>
      <c r="AC28" s="171" t="s">
        <v>7</v>
      </c>
      <c r="AD28" s="171"/>
      <c r="AE28" s="171"/>
      <c r="AF28" s="171"/>
      <c r="AG28" s="172"/>
      <c r="AH28" s="2"/>
      <c r="AI28" s="2"/>
      <c r="AJ28" s="2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s="9" customFormat="1" ht="13.5" thickBot="1" x14ac:dyDescent="0.25">
      <c r="A29" s="5"/>
      <c r="B29" s="189"/>
      <c r="C29" s="178"/>
      <c r="D29" s="76" t="s">
        <v>8</v>
      </c>
      <c r="E29" s="77" t="s">
        <v>9</v>
      </c>
      <c r="F29" s="77" t="s">
        <v>10</v>
      </c>
      <c r="G29" s="77" t="s">
        <v>11</v>
      </c>
      <c r="H29" s="77" t="s">
        <v>12</v>
      </c>
      <c r="I29" s="77" t="s">
        <v>8</v>
      </c>
      <c r="J29" s="77" t="s">
        <v>9</v>
      </c>
      <c r="K29" s="77" t="s">
        <v>10</v>
      </c>
      <c r="L29" s="77" t="s">
        <v>11</v>
      </c>
      <c r="M29" s="77" t="s">
        <v>12</v>
      </c>
      <c r="N29" s="11" t="s">
        <v>8</v>
      </c>
      <c r="O29" s="11" t="s">
        <v>9</v>
      </c>
      <c r="P29" s="11" t="s">
        <v>10</v>
      </c>
      <c r="Q29" s="11" t="s">
        <v>11</v>
      </c>
      <c r="R29" s="12" t="s">
        <v>12</v>
      </c>
      <c r="S29" s="10" t="s">
        <v>8</v>
      </c>
      <c r="T29" s="11" t="s">
        <v>9</v>
      </c>
      <c r="U29" s="11" t="s">
        <v>10</v>
      </c>
      <c r="V29" s="11" t="s">
        <v>11</v>
      </c>
      <c r="W29" s="11" t="s">
        <v>12</v>
      </c>
      <c r="X29" s="77" t="s">
        <v>8</v>
      </c>
      <c r="Y29" s="77" t="s">
        <v>9</v>
      </c>
      <c r="Z29" s="77" t="s">
        <v>10</v>
      </c>
      <c r="AA29" s="77" t="s">
        <v>11</v>
      </c>
      <c r="AB29" s="77" t="s">
        <v>12</v>
      </c>
      <c r="AC29" s="11" t="s">
        <v>8</v>
      </c>
      <c r="AD29" s="11" t="s">
        <v>9</v>
      </c>
      <c r="AE29" s="11" t="s">
        <v>10</v>
      </c>
      <c r="AF29" s="11" t="s">
        <v>11</v>
      </c>
      <c r="AG29" s="13" t="s">
        <v>12</v>
      </c>
      <c r="AH29" s="2"/>
      <c r="AI29" s="2"/>
      <c r="AJ29" s="2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s="9" customFormat="1" x14ac:dyDescent="0.2">
      <c r="A30" s="5"/>
      <c r="B30" s="78" t="s">
        <v>13</v>
      </c>
      <c r="C30" s="79" t="s">
        <v>14</v>
      </c>
      <c r="D30" s="80">
        <f>(I30+N30)/2</f>
        <v>58.526400000000002</v>
      </c>
      <c r="E30" s="81">
        <f>(J30+O30)/2</f>
        <v>37.062521302924878</v>
      </c>
      <c r="F30" s="81">
        <f>(K30+P30)/2</f>
        <v>16.448950464791903</v>
      </c>
      <c r="G30" s="81">
        <f>(L30+Q30)/2</f>
        <v>5.713180824026427</v>
      </c>
      <c r="H30" s="82">
        <f>(M30+R30)/2</f>
        <v>0.23429983515851371</v>
      </c>
      <c r="I30" s="80">
        <f>ROUND(I40+I42+I43,4)</f>
        <v>58.526400000000002</v>
      </c>
      <c r="J30" s="81">
        <f>(K33+L33+J42+J43)/(1-J41/100)</f>
        <v>37.062521302924878</v>
      </c>
      <c r="K30" s="81">
        <f>(L34+K42+K43)/(1-K41/100)</f>
        <v>16.448950464791903</v>
      </c>
      <c r="L30" s="81">
        <f>(M35+L42+L43)/(1-L41/100)</f>
        <v>5.713180824026427</v>
      </c>
      <c r="M30" s="83">
        <f>(M42+M43)/(1-M41/100)</f>
        <v>0.23429983515851371</v>
      </c>
      <c r="N30" s="80">
        <f>ROUND(N40+N42+N43,4)</f>
        <v>58.526400000000002</v>
      </c>
      <c r="O30" s="81">
        <f>(P33+Q33+O42+O43)/(1-O41/100)</f>
        <v>37.062521302924878</v>
      </c>
      <c r="P30" s="81">
        <f>(Q34+P42+P43)/(1-P41/100)</f>
        <v>16.448950464791903</v>
      </c>
      <c r="Q30" s="81">
        <f>(R35+Q42+Q43)/(1-Q41/100)</f>
        <v>5.713180824026427</v>
      </c>
      <c r="R30" s="83">
        <f>(R42+R43)/(1-R41/100)</f>
        <v>0.23429983515851371</v>
      </c>
      <c r="S30" s="80">
        <f>(X30+AC30)/2</f>
        <v>113.67779392252984</v>
      </c>
      <c r="T30" s="81">
        <f>(Y30+AD30)/2</f>
        <v>50.865725728835272</v>
      </c>
      <c r="U30" s="81">
        <f>(Z30+AE30)/2</f>
        <v>32.681550000000001</v>
      </c>
      <c r="V30" s="81">
        <f>(AA30+AF30)/2</f>
        <v>42.803651622094108</v>
      </c>
      <c r="W30" s="83">
        <f>(AB30+AG30)/2</f>
        <v>7.4158834848840485</v>
      </c>
      <c r="X30" s="80">
        <f>X43+X42+X40</f>
        <v>113.67347712166095</v>
      </c>
      <c r="Y30" s="81">
        <f>(AA33+Z33+Y43+Y42)/(1-Y41/100)</f>
        <v>51.184964191124273</v>
      </c>
      <c r="Z30" s="81">
        <f>(AA34+Z43+Z42)/(1-Z41/100)</f>
        <v>31.6983</v>
      </c>
      <c r="AA30" s="81">
        <f>(AB35+AA43+AA42)/(1-AA41/100)</f>
        <v>42.814816767436213</v>
      </c>
      <c r="AB30" s="83">
        <f>(AB43+AB42)/(1-AB41/100)</f>
        <v>7.4158442770501134</v>
      </c>
      <c r="AC30" s="80">
        <f>AC43+AC42+AC40</f>
        <v>113.68211072339875</v>
      </c>
      <c r="AD30" s="81">
        <f>(AF33+AE33+AD43+AD42)/(1-AD41/100)</f>
        <v>50.546487266546265</v>
      </c>
      <c r="AE30" s="81">
        <f>(AF34+AE43+AE42)/(1-AE41/100)</f>
        <v>33.6648</v>
      </c>
      <c r="AF30" s="81">
        <f>(AG35+AF43+AF42)/(1-AF41/100)</f>
        <v>42.792486476752003</v>
      </c>
      <c r="AG30" s="83">
        <f>(AG43+AG42)/(1-AG41/100)</f>
        <v>7.4159226927179835</v>
      </c>
      <c r="AH30" s="2"/>
      <c r="AI30" s="2"/>
      <c r="AJ30" s="2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s="9" customFormat="1" x14ac:dyDescent="0.2">
      <c r="A31" s="5"/>
      <c r="B31" s="84" t="s">
        <v>15</v>
      </c>
      <c r="C31" s="85" t="s">
        <v>14</v>
      </c>
      <c r="D31" s="86" t="s">
        <v>16</v>
      </c>
      <c r="E31" s="87" t="s">
        <v>16</v>
      </c>
      <c r="F31" s="88">
        <f>(K31+P31)/2</f>
        <v>0</v>
      </c>
      <c r="G31" s="88">
        <f>(L31+Q31)/2</f>
        <v>0.70748013013746114</v>
      </c>
      <c r="H31" s="89">
        <f>(M31+R31)/2</f>
        <v>0.22505133881217784</v>
      </c>
      <c r="I31" s="86" t="s">
        <v>16</v>
      </c>
      <c r="J31" s="87" t="s">
        <v>16</v>
      </c>
      <c r="K31" s="88">
        <f>K33</f>
        <v>0</v>
      </c>
      <c r="L31" s="88">
        <f>L33+L34</f>
        <v>0.70748013013746114</v>
      </c>
      <c r="M31" s="90">
        <f>M35</f>
        <v>0.22505133881217784</v>
      </c>
      <c r="N31" s="86" t="s">
        <v>16</v>
      </c>
      <c r="O31" s="87" t="s">
        <v>16</v>
      </c>
      <c r="P31" s="88">
        <f>P33</f>
        <v>0</v>
      </c>
      <c r="Q31" s="88">
        <f>Q33+Q34</f>
        <v>0.70748013013746114</v>
      </c>
      <c r="R31" s="90">
        <f>R35</f>
        <v>0.22505133881217784</v>
      </c>
      <c r="S31" s="86" t="s">
        <v>16</v>
      </c>
      <c r="T31" s="87" t="s">
        <v>16</v>
      </c>
      <c r="U31" s="88">
        <f>(Z31+AE31)/2</f>
        <v>0</v>
      </c>
      <c r="V31" s="88">
        <f>(AA31+AF31)/2</f>
        <v>13.140234731029235</v>
      </c>
      <c r="W31" s="90">
        <f>(AB31+AG31)/2</f>
        <v>6.9487821822543356</v>
      </c>
      <c r="X31" s="86" t="s">
        <v>16</v>
      </c>
      <c r="Y31" s="87" t="s">
        <v>16</v>
      </c>
      <c r="Z31" s="88">
        <f>Z33</f>
        <v>0</v>
      </c>
      <c r="AA31" s="88">
        <f>AA33+AA34</f>
        <v>12.491705139529234</v>
      </c>
      <c r="AB31" s="90">
        <f>AB35</f>
        <v>6.9487429744204006</v>
      </c>
      <c r="AC31" s="86" t="s">
        <v>16</v>
      </c>
      <c r="AD31" s="87" t="s">
        <v>16</v>
      </c>
      <c r="AE31" s="88">
        <f>AE33</f>
        <v>0</v>
      </c>
      <c r="AF31" s="88">
        <f>AF33+AF34</f>
        <v>13.788764322529234</v>
      </c>
      <c r="AG31" s="90">
        <f>AG35</f>
        <v>6.9488213900882707</v>
      </c>
      <c r="AH31" s="2"/>
      <c r="AI31" s="2"/>
      <c r="AJ31" s="2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s="9" customFormat="1" x14ac:dyDescent="0.2">
      <c r="A32" s="5"/>
      <c r="B32" s="84" t="s">
        <v>17</v>
      </c>
      <c r="C32" s="85" t="s">
        <v>14</v>
      </c>
      <c r="D32" s="86" t="s">
        <v>16</v>
      </c>
      <c r="E32" s="87" t="s">
        <v>16</v>
      </c>
      <c r="F32" s="87" t="s">
        <v>16</v>
      </c>
      <c r="G32" s="87" t="s">
        <v>16</v>
      </c>
      <c r="H32" s="91" t="s">
        <v>16</v>
      </c>
      <c r="I32" s="86" t="s">
        <v>16</v>
      </c>
      <c r="J32" s="87" t="s">
        <v>16</v>
      </c>
      <c r="K32" s="87" t="s">
        <v>16</v>
      </c>
      <c r="L32" s="87" t="s">
        <v>16</v>
      </c>
      <c r="M32" s="92" t="s">
        <v>16</v>
      </c>
      <c r="N32" s="86" t="s">
        <v>16</v>
      </c>
      <c r="O32" s="87" t="s">
        <v>16</v>
      </c>
      <c r="P32" s="87" t="s">
        <v>16</v>
      </c>
      <c r="Q32" s="87" t="s">
        <v>16</v>
      </c>
      <c r="R32" s="92" t="s">
        <v>16</v>
      </c>
      <c r="S32" s="86" t="s">
        <v>16</v>
      </c>
      <c r="T32" s="87" t="s">
        <v>16</v>
      </c>
      <c r="U32" s="87" t="s">
        <v>16</v>
      </c>
      <c r="V32" s="87" t="s">
        <v>16</v>
      </c>
      <c r="W32" s="92" t="s">
        <v>16</v>
      </c>
      <c r="X32" s="86" t="s">
        <v>16</v>
      </c>
      <c r="Y32" s="87" t="s">
        <v>16</v>
      </c>
      <c r="Z32" s="87" t="s">
        <v>16</v>
      </c>
      <c r="AA32" s="87" t="s">
        <v>16</v>
      </c>
      <c r="AB32" s="92" t="s">
        <v>16</v>
      </c>
      <c r="AC32" s="86" t="s">
        <v>16</v>
      </c>
      <c r="AD32" s="87" t="s">
        <v>16</v>
      </c>
      <c r="AE32" s="87" t="s">
        <v>16</v>
      </c>
      <c r="AF32" s="87" t="s">
        <v>16</v>
      </c>
      <c r="AG32" s="92" t="s">
        <v>16</v>
      </c>
      <c r="AH32" s="2"/>
      <c r="AI32" s="2"/>
      <c r="AJ32" s="2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s="9" customFormat="1" x14ac:dyDescent="0.2">
      <c r="A33" s="5"/>
      <c r="B33" s="93" t="s">
        <v>9</v>
      </c>
      <c r="C33" s="94" t="s">
        <v>14</v>
      </c>
      <c r="D33" s="95" t="s">
        <v>16</v>
      </c>
      <c r="E33" s="96" t="s">
        <v>16</v>
      </c>
      <c r="F33" s="88">
        <f>(K33+P33)/2</f>
        <v>0</v>
      </c>
      <c r="G33" s="88">
        <f>(L33+Q33)/2</f>
        <v>0.35921609338251415</v>
      </c>
      <c r="H33" s="97" t="s">
        <v>16</v>
      </c>
      <c r="I33" s="95" t="s">
        <v>16</v>
      </c>
      <c r="J33" s="96" t="s">
        <v>16</v>
      </c>
      <c r="K33" s="88">
        <f>IF(K6=0,0,K9/K6*K30)</f>
        <v>0</v>
      </c>
      <c r="L33" s="88">
        <f>IF(L6=0,0,L9/L6*L30)</f>
        <v>0.35921609338251415</v>
      </c>
      <c r="M33" s="92" t="s">
        <v>16</v>
      </c>
      <c r="N33" s="95" t="s">
        <v>16</v>
      </c>
      <c r="O33" s="96" t="s">
        <v>16</v>
      </c>
      <c r="P33" s="88">
        <f>IF(P6=0,0,P9/P6*P30)</f>
        <v>0</v>
      </c>
      <c r="Q33" s="88">
        <f>IF(Q6=0,0,Q9/Q6*Q30)</f>
        <v>0.35921609338251415</v>
      </c>
      <c r="R33" s="92" t="s">
        <v>16</v>
      </c>
      <c r="S33" s="95" t="s">
        <v>16</v>
      </c>
      <c r="T33" s="96" t="s">
        <v>16</v>
      </c>
      <c r="U33" s="88">
        <f>(Z33+AE33)/2</f>
        <v>0</v>
      </c>
      <c r="V33" s="88">
        <f>(AA33+AF33)/2</f>
        <v>3.5187499999999998</v>
      </c>
      <c r="W33" s="98" t="s">
        <v>16</v>
      </c>
      <c r="X33" s="95" t="s">
        <v>16</v>
      </c>
      <c r="Y33" s="96" t="s">
        <v>16</v>
      </c>
      <c r="Z33" s="88">
        <f>IF(Z6=0,0,Z9/Z6*Z30)</f>
        <v>0</v>
      </c>
      <c r="AA33" s="88">
        <f>IF(AA6=0,0,AA9/AA6*AA30)</f>
        <v>3.8225000000000002</v>
      </c>
      <c r="AB33" s="92" t="s">
        <v>16</v>
      </c>
      <c r="AC33" s="95" t="s">
        <v>16</v>
      </c>
      <c r="AD33" s="96" t="s">
        <v>16</v>
      </c>
      <c r="AE33" s="88">
        <f>IF(AE6=0,0,AE9/AE6*AE30)</f>
        <v>0</v>
      </c>
      <c r="AF33" s="88">
        <f>IF(AF6=0,0,AF9/AF6*AF30)</f>
        <v>3.2149999999999999</v>
      </c>
      <c r="AG33" s="92" t="s">
        <v>16</v>
      </c>
      <c r="AH33" s="2"/>
      <c r="AI33" s="2"/>
      <c r="AJ33" s="2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s="9" customFormat="1" x14ac:dyDescent="0.2">
      <c r="A34" s="5"/>
      <c r="B34" s="93" t="s">
        <v>10</v>
      </c>
      <c r="C34" s="94" t="s">
        <v>14</v>
      </c>
      <c r="D34" s="95" t="s">
        <v>16</v>
      </c>
      <c r="E34" s="96" t="s">
        <v>16</v>
      </c>
      <c r="F34" s="87" t="s">
        <v>16</v>
      </c>
      <c r="G34" s="88">
        <f>(L34+Q34)/2</f>
        <v>0.34826403675494705</v>
      </c>
      <c r="H34" s="97" t="s">
        <v>16</v>
      </c>
      <c r="I34" s="95" t="s">
        <v>16</v>
      </c>
      <c r="J34" s="96" t="s">
        <v>16</v>
      </c>
      <c r="K34" s="96" t="s">
        <v>16</v>
      </c>
      <c r="L34" s="88">
        <f>IF(L6=0,0,L10/L6*L30)</f>
        <v>0.34826403675494705</v>
      </c>
      <c r="M34" s="92" t="s">
        <v>16</v>
      </c>
      <c r="N34" s="95" t="s">
        <v>16</v>
      </c>
      <c r="O34" s="96" t="s">
        <v>16</v>
      </c>
      <c r="P34" s="96" t="s">
        <v>16</v>
      </c>
      <c r="Q34" s="88">
        <f>IF(Q6=0,0,Q10/Q6*Q30)</f>
        <v>0.34826403675494705</v>
      </c>
      <c r="R34" s="92" t="s">
        <v>16</v>
      </c>
      <c r="S34" s="95" t="s">
        <v>16</v>
      </c>
      <c r="T34" s="96" t="s">
        <v>16</v>
      </c>
      <c r="U34" s="87" t="s">
        <v>16</v>
      </c>
      <c r="V34" s="88">
        <f>(AA34+AF34)/2</f>
        <v>9.6214847310292342</v>
      </c>
      <c r="W34" s="98" t="s">
        <v>16</v>
      </c>
      <c r="X34" s="95" t="s">
        <v>16</v>
      </c>
      <c r="Y34" s="96" t="s">
        <v>16</v>
      </c>
      <c r="Z34" s="96" t="s">
        <v>16</v>
      </c>
      <c r="AA34" s="88">
        <f>IF(AA6=0,0,AA10/AA6*AA30)</f>
        <v>8.6692051395292342</v>
      </c>
      <c r="AB34" s="92" t="s">
        <v>16</v>
      </c>
      <c r="AC34" s="95" t="s">
        <v>16</v>
      </c>
      <c r="AD34" s="96" t="s">
        <v>16</v>
      </c>
      <c r="AE34" s="96" t="s">
        <v>16</v>
      </c>
      <c r="AF34" s="88">
        <f>IF(AF6=0,0,AF10/AF6*AF30)</f>
        <v>10.573764322529234</v>
      </c>
      <c r="AG34" s="92" t="s">
        <v>16</v>
      </c>
      <c r="AH34" s="2"/>
      <c r="AI34" s="2"/>
      <c r="AJ34" s="2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s="9" customFormat="1" x14ac:dyDescent="0.2">
      <c r="A35" s="5"/>
      <c r="B35" s="93" t="s">
        <v>11</v>
      </c>
      <c r="C35" s="94" t="s">
        <v>14</v>
      </c>
      <c r="D35" s="95" t="s">
        <v>16</v>
      </c>
      <c r="E35" s="96" t="s">
        <v>16</v>
      </c>
      <c r="F35" s="96" t="s">
        <v>16</v>
      </c>
      <c r="G35" s="96" t="s">
        <v>16</v>
      </c>
      <c r="H35" s="89">
        <f t="shared" ref="H35:H40" si="6">(M35+R35)/2</f>
        <v>0.22505133881217784</v>
      </c>
      <c r="I35" s="95" t="s">
        <v>16</v>
      </c>
      <c r="J35" s="96" t="s">
        <v>16</v>
      </c>
      <c r="K35" s="96" t="s">
        <v>16</v>
      </c>
      <c r="L35" s="96" t="s">
        <v>16</v>
      </c>
      <c r="M35" s="90">
        <f>IF(M6=0,0,M11/M6*M30)</f>
        <v>0.22505133881217784</v>
      </c>
      <c r="N35" s="95" t="s">
        <v>16</v>
      </c>
      <c r="O35" s="96" t="s">
        <v>16</v>
      </c>
      <c r="P35" s="96" t="s">
        <v>16</v>
      </c>
      <c r="Q35" s="96" t="s">
        <v>16</v>
      </c>
      <c r="R35" s="90">
        <f>IF(R6=0,0,R11/R6*R30)</f>
        <v>0.22505133881217784</v>
      </c>
      <c r="S35" s="95" t="s">
        <v>16</v>
      </c>
      <c r="T35" s="96" t="s">
        <v>16</v>
      </c>
      <c r="U35" s="96" t="s">
        <v>16</v>
      </c>
      <c r="V35" s="96" t="s">
        <v>16</v>
      </c>
      <c r="W35" s="90">
        <f t="shared" ref="W35:W40" si="7">(AB35+AG35)/2</f>
        <v>6.9487821822543356</v>
      </c>
      <c r="X35" s="95" t="s">
        <v>16</v>
      </c>
      <c r="Y35" s="96" t="s">
        <v>16</v>
      </c>
      <c r="Z35" s="96" t="s">
        <v>16</v>
      </c>
      <c r="AA35" s="96" t="s">
        <v>16</v>
      </c>
      <c r="AB35" s="90">
        <f>IF(AB6=0,0,AB11/AB6*AB30)</f>
        <v>6.9487429744204006</v>
      </c>
      <c r="AC35" s="95" t="s">
        <v>16</v>
      </c>
      <c r="AD35" s="96" t="s">
        <v>16</v>
      </c>
      <c r="AE35" s="96" t="s">
        <v>16</v>
      </c>
      <c r="AF35" s="96" t="s">
        <v>16</v>
      </c>
      <c r="AG35" s="90">
        <f>IF(AG6=0,0,AG11/AG6*AG30)</f>
        <v>6.9488213900882707</v>
      </c>
      <c r="AH35" s="2"/>
      <c r="AI35" s="2"/>
      <c r="AJ35" s="2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s="9" customFormat="1" x14ac:dyDescent="0.2">
      <c r="A36" s="5"/>
      <c r="B36" s="93" t="s">
        <v>18</v>
      </c>
      <c r="C36" s="94" t="s">
        <v>14</v>
      </c>
      <c r="D36" s="99">
        <f t="shared" ref="D36:G40" si="8">(I36+N36)/2</f>
        <v>4.3052000000000001</v>
      </c>
      <c r="E36" s="88">
        <f t="shared" si="8"/>
        <v>0</v>
      </c>
      <c r="F36" s="88">
        <f t="shared" si="8"/>
        <v>0</v>
      </c>
      <c r="G36" s="88">
        <f t="shared" si="8"/>
        <v>4.3051983128126476</v>
      </c>
      <c r="H36" s="89">
        <f t="shared" si="6"/>
        <v>0</v>
      </c>
      <c r="I36" s="99">
        <f>ROUND(SUM(J36:M36),4)</f>
        <v>4.3052000000000001</v>
      </c>
      <c r="J36" s="88">
        <f>IF(J6=0,0,J12/J6*J30)</f>
        <v>0</v>
      </c>
      <c r="K36" s="88">
        <f>IF(K6=0,0,K12/K6*K30)</f>
        <v>0</v>
      </c>
      <c r="L36" s="88">
        <f>IF(L6=0,0,L12/L6*L30)</f>
        <v>4.3051983128126476</v>
      </c>
      <c r="M36" s="90">
        <f>IF(M6=0,0,M12/M6*M30)</f>
        <v>0</v>
      </c>
      <c r="N36" s="99">
        <f>ROUND(SUM(O36:R36),4)</f>
        <v>4.3052000000000001</v>
      </c>
      <c r="O36" s="88">
        <f>IF(O6=0,0,O12/O6*O30)</f>
        <v>0</v>
      </c>
      <c r="P36" s="88">
        <f>IF(P6=0,0,P12/P6*P30)</f>
        <v>0</v>
      </c>
      <c r="Q36" s="88">
        <f>IF(Q6=0,0,Q12/Q6*Q30)</f>
        <v>4.3051983128126476</v>
      </c>
      <c r="R36" s="90">
        <f>IF(R6=0,0,R12/R6*R30)</f>
        <v>0</v>
      </c>
      <c r="S36" s="99">
        <f t="shared" ref="S36:V40" si="9">(X36+AC36)/2</f>
        <v>24.342105263157897</v>
      </c>
      <c r="T36" s="88">
        <f t="shared" si="9"/>
        <v>0</v>
      </c>
      <c r="U36" s="88">
        <f t="shared" si="9"/>
        <v>0</v>
      </c>
      <c r="V36" s="88">
        <f t="shared" si="9"/>
        <v>24.342105263157897</v>
      </c>
      <c r="W36" s="90">
        <f t="shared" si="7"/>
        <v>0</v>
      </c>
      <c r="X36" s="99">
        <f>SUM(Y36:AB36)</f>
        <v>25</v>
      </c>
      <c r="Y36" s="88">
        <f>IF(Y6=0,0,Y12/Y6*Y30)</f>
        <v>0</v>
      </c>
      <c r="Z36" s="88">
        <f>IF($Z$6=0,0,Z12/$Z$6*$Z$30)</f>
        <v>0</v>
      </c>
      <c r="AA36" s="88">
        <f>IF($AA$6=0,0,AA12/$AA$6*$AA$30)</f>
        <v>25</v>
      </c>
      <c r="AB36" s="90">
        <f>IF($AB$6=0,0,AB12/$AB$6*$AB$30)</f>
        <v>0</v>
      </c>
      <c r="AC36" s="99">
        <f>SUM(AD36:AG36)</f>
        <v>23.684210526315795</v>
      </c>
      <c r="AD36" s="88">
        <f>IF($AD$6=0,0,AD12/$AD$6*$AD$30)</f>
        <v>0</v>
      </c>
      <c r="AE36" s="88">
        <f>IF($AE$6=0,0,AE12/$AE$6*$AE$30)</f>
        <v>0</v>
      </c>
      <c r="AF36" s="88">
        <f>IF($AF$6=0,0,AF12/$AF$6*$AF$30)</f>
        <v>23.684210526315795</v>
      </c>
      <c r="AG36" s="88">
        <f>IF($AG$6=0,0,AG12/$AG$6*$AG$30)</f>
        <v>0</v>
      </c>
      <c r="AH36" s="2"/>
      <c r="AI36" s="2"/>
      <c r="AJ36" s="2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s="9" customFormat="1" x14ac:dyDescent="0.2">
      <c r="A37" s="5"/>
      <c r="B37" s="93" t="s">
        <v>19</v>
      </c>
      <c r="C37" s="94" t="s">
        <v>14</v>
      </c>
      <c r="D37" s="99">
        <f t="shared" si="8"/>
        <v>3.6332</v>
      </c>
      <c r="E37" s="88">
        <f t="shared" si="8"/>
        <v>3.6332042661632844</v>
      </c>
      <c r="F37" s="88">
        <f t="shared" si="8"/>
        <v>0</v>
      </c>
      <c r="G37" s="88">
        <f t="shared" si="8"/>
        <v>0</v>
      </c>
      <c r="H37" s="89">
        <f t="shared" si="6"/>
        <v>0</v>
      </c>
      <c r="I37" s="99">
        <f>ROUND(SUM(J37:M37),4)</f>
        <v>3.6332</v>
      </c>
      <c r="J37" s="88">
        <f>IF(J6=0,0,J13*(J30/J6))</f>
        <v>3.633204266163284</v>
      </c>
      <c r="K37" s="88">
        <f>IF(K6=0,0,K13/K6*K30)</f>
        <v>0</v>
      </c>
      <c r="L37" s="88">
        <f>IF(L6=0,0,L13/L6*L30)</f>
        <v>0</v>
      </c>
      <c r="M37" s="90">
        <f>IF(M6=0,0,M13/M6*M30)</f>
        <v>0</v>
      </c>
      <c r="N37" s="99">
        <f>ROUND(SUM(O37:R37),4)</f>
        <v>3.6332</v>
      </c>
      <c r="O37" s="88">
        <f>IF(O6=0,0,O13/O6*O30)</f>
        <v>3.6332042661632844</v>
      </c>
      <c r="P37" s="88">
        <f>IF(P6=0,0,P13/P6*P30)</f>
        <v>0</v>
      </c>
      <c r="Q37" s="88">
        <f>IF(Q6=0,0,Q13/Q6*Q30)</f>
        <v>0</v>
      </c>
      <c r="R37" s="90">
        <f>IF(R6=0,0,R13/R6*R30)</f>
        <v>0</v>
      </c>
      <c r="S37" s="99">
        <f t="shared" si="9"/>
        <v>4.8684187364493461</v>
      </c>
      <c r="T37" s="88">
        <f t="shared" si="9"/>
        <v>4.8684187364493461</v>
      </c>
      <c r="U37" s="88">
        <f t="shared" si="9"/>
        <v>0</v>
      </c>
      <c r="V37" s="88">
        <f t="shared" si="9"/>
        <v>0</v>
      </c>
      <c r="W37" s="90">
        <f t="shared" si="7"/>
        <v>0</v>
      </c>
      <c r="X37" s="99">
        <f>SUM(Y37:AB37)</f>
        <v>4.8684176466985027</v>
      </c>
      <c r="Y37" s="88">
        <f>IF($Y$6=0,0,Y13/$Y$6*$Y$30)</f>
        <v>4.8684176466985027</v>
      </c>
      <c r="Z37" s="88">
        <f>IF($Z$6=0,0,Z13/$Z$6*$Z$30)</f>
        <v>0</v>
      </c>
      <c r="AA37" s="88">
        <f>IF($AA$6=0,0,AA13/$AA$6*$AA$30)</f>
        <v>0</v>
      </c>
      <c r="AB37" s="90">
        <f>IF($AB$6=0,0,AB13/$AB$6*$AB$30)</f>
        <v>0</v>
      </c>
      <c r="AC37" s="99">
        <f>SUM(AD37:AG37)</f>
        <v>4.8684198262001885</v>
      </c>
      <c r="AD37" s="88">
        <f>IF($AD$6=0,0,AD13/$AD$6*$AD$30)</f>
        <v>4.8684198262001885</v>
      </c>
      <c r="AE37" s="88">
        <f>IF($AE$6=0,0,AE13/$AE$6*$AE$30)</f>
        <v>0</v>
      </c>
      <c r="AF37" s="88">
        <f>IF($AF$6=0,0,AF13/$AF$6*$AF$30)</f>
        <v>0</v>
      </c>
      <c r="AG37" s="88">
        <f>IF($AG$6=0,0,AG13/$AG$6*$AG$30)</f>
        <v>0</v>
      </c>
      <c r="AH37" s="2"/>
      <c r="AI37" s="2"/>
      <c r="AJ37" s="2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s="9" customFormat="1" x14ac:dyDescent="0.2">
      <c r="A38" s="5"/>
      <c r="B38" s="93" t="s">
        <v>20</v>
      </c>
      <c r="C38" s="94" t="s">
        <v>14</v>
      </c>
      <c r="D38" s="99">
        <f t="shared" si="8"/>
        <v>50.580800000000004</v>
      </c>
      <c r="E38" s="88">
        <f t="shared" si="8"/>
        <v>33.429320687719311</v>
      </c>
      <c r="F38" s="88">
        <f t="shared" si="8"/>
        <v>16.44895132322462</v>
      </c>
      <c r="G38" s="88">
        <f t="shared" si="8"/>
        <v>0.69329071614721705</v>
      </c>
      <c r="H38" s="89">
        <f t="shared" si="6"/>
        <v>9.2493277111813741E-3</v>
      </c>
      <c r="I38" s="99">
        <f>ROUND(SUM(J38:M38),4)</f>
        <v>50.580800000000004</v>
      </c>
      <c r="J38" s="88">
        <f>IF(J6=0,0,J14/J6*J30)</f>
        <v>33.429320687719311</v>
      </c>
      <c r="K38" s="88">
        <f>IF(K6=0,0,K14/K6*K30)</f>
        <v>16.44895132322462</v>
      </c>
      <c r="L38" s="88">
        <f>IF(L6=0,0,L14/L6*L30)</f>
        <v>0.69329071614721705</v>
      </c>
      <c r="M38" s="90">
        <f>IF(M6=0,0,M14/M6*M30)</f>
        <v>9.2493277111813741E-3</v>
      </c>
      <c r="N38" s="99">
        <f>ROUND(SUM(O38:R38),4)</f>
        <v>50.580800000000004</v>
      </c>
      <c r="O38" s="88">
        <f>IF(O6=0,0,O14/O6*O30)</f>
        <v>33.429320687719311</v>
      </c>
      <c r="P38" s="88">
        <f>IF(P6=0,0,P14/P6*P30)</f>
        <v>16.44895132322462</v>
      </c>
      <c r="Q38" s="88">
        <f>IF(Q6=0,0,Q14/Q6*Q30)</f>
        <v>0.69329071614721705</v>
      </c>
      <c r="R38" s="90">
        <f>IF(R6=0,0,R14/R6*R30)</f>
        <v>9.2493277111813741E-3</v>
      </c>
      <c r="S38" s="99">
        <f t="shared" si="9"/>
        <v>84.420787808388866</v>
      </c>
      <c r="T38" s="88">
        <f t="shared" si="9"/>
        <v>45.997336018230328</v>
      </c>
      <c r="U38" s="88">
        <f t="shared" si="9"/>
        <v>32.681550487528831</v>
      </c>
      <c r="V38" s="88">
        <f t="shared" si="9"/>
        <v>5.2747999999999999</v>
      </c>
      <c r="W38" s="90">
        <f t="shared" si="7"/>
        <v>0.46710130262971239</v>
      </c>
      <c r="X38" s="99">
        <f>SUM(Y38:AB38)</f>
        <v>83.758606982223412</v>
      </c>
      <c r="Y38" s="88">
        <f>IF($Y$6=0,0,Y14/$Y$6*$Y$30)</f>
        <v>46.316580834100392</v>
      </c>
      <c r="Z38" s="88">
        <f>IF($Z$6=0,0,Z14/$Z$6*$Z$30)</f>
        <v>31.698324845493307</v>
      </c>
      <c r="AA38" s="88">
        <f>IF($AA$6=0,0,AA14/$AA$6*$AA$30)</f>
        <v>5.2766000000000002</v>
      </c>
      <c r="AB38" s="90">
        <f>IF($AB$6=0,0,AB14/$AB$6*$AB$30)</f>
        <v>0.46710130262971239</v>
      </c>
      <c r="AC38" s="99">
        <f>SUM(AD38:AG38)</f>
        <v>85.082968634554334</v>
      </c>
      <c r="AD38" s="88">
        <f>IF($AD$6=0,0,AD14/$AD$6*$AD$30)</f>
        <v>45.678091202360271</v>
      </c>
      <c r="AE38" s="88">
        <f>IF($AE$6=0,0,AE14/$AE$6*$AE$30)</f>
        <v>33.664776129564352</v>
      </c>
      <c r="AF38" s="88">
        <f>IF($AF$6=0,0,AF14/$AF$6*$AF$30)</f>
        <v>5.2729999999999997</v>
      </c>
      <c r="AG38" s="88">
        <f>IF($AG$6=0,0,AG14/$AG$6*$AG$30)</f>
        <v>0.46710130262971244</v>
      </c>
      <c r="AH38" s="2"/>
      <c r="AI38" s="2"/>
      <c r="AJ38" s="2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s="9" customFormat="1" x14ac:dyDescent="0.2">
      <c r="A39" s="5"/>
      <c r="B39" s="100" t="s">
        <v>21</v>
      </c>
      <c r="C39" s="94" t="s">
        <v>14</v>
      </c>
      <c r="D39" s="99">
        <f t="shared" si="8"/>
        <v>7.1999999999999998E-3</v>
      </c>
      <c r="E39" s="88">
        <f t="shared" si="8"/>
        <v>0</v>
      </c>
      <c r="F39" s="88">
        <f t="shared" si="8"/>
        <v>0</v>
      </c>
      <c r="G39" s="88">
        <f t="shared" si="8"/>
        <v>7.2155794792721712E-3</v>
      </c>
      <c r="H39" s="89">
        <f t="shared" si="6"/>
        <v>0</v>
      </c>
      <c r="I39" s="99">
        <f>ROUND(SUM(J39:M39),4)</f>
        <v>7.1999999999999998E-3</v>
      </c>
      <c r="J39" s="88">
        <f>IF(J6=0,0,J15/J6*J30)</f>
        <v>0</v>
      </c>
      <c r="K39" s="88">
        <f>IF(K6=0,0,K15/K6*K30)</f>
        <v>0</v>
      </c>
      <c r="L39" s="88">
        <f>IF(L6=0,0,L15/L6*L30)</f>
        <v>7.2155794792721712E-3</v>
      </c>
      <c r="M39" s="90">
        <f>IF(M6=0,0,M15/M6*M30)</f>
        <v>0</v>
      </c>
      <c r="N39" s="99">
        <f>ROUND(SUM(O39:R39),4)</f>
        <v>7.1999999999999998E-3</v>
      </c>
      <c r="O39" s="88">
        <f>IF(O6=0,0,O15/O6*O30)</f>
        <v>0</v>
      </c>
      <c r="P39" s="88">
        <f>IF(P6=0,0,P15/P6*P30)</f>
        <v>0</v>
      </c>
      <c r="Q39" s="88">
        <f>IF(Q6=0,0,Q15/Q6*Q30)</f>
        <v>7.2155794792721712E-3</v>
      </c>
      <c r="R39" s="90">
        <f>IF(R6=0,0,R15/R6*R30)</f>
        <v>0</v>
      </c>
      <c r="S39" s="99">
        <f t="shared" si="9"/>
        <v>4.6511627906976744E-2</v>
      </c>
      <c r="T39" s="88">
        <f t="shared" si="9"/>
        <v>0</v>
      </c>
      <c r="U39" s="88">
        <f t="shared" si="9"/>
        <v>0</v>
      </c>
      <c r="V39" s="88">
        <f t="shared" si="9"/>
        <v>4.6511627906976744E-2</v>
      </c>
      <c r="W39" s="90">
        <f t="shared" si="7"/>
        <v>0</v>
      </c>
      <c r="X39" s="99">
        <f>SUM(Y39:AB39)</f>
        <v>4.6511627906976744E-2</v>
      </c>
      <c r="Y39" s="88">
        <f>IF($Y$6=0,0,Y15/$Y$6*$Y$30)</f>
        <v>0</v>
      </c>
      <c r="Z39" s="88">
        <f>IF($Z$6=0,0,Z15/$Z$6*$Z$30)</f>
        <v>0</v>
      </c>
      <c r="AA39" s="88">
        <f>IF($AA$6=0,0,AA15/$AA$6*$AA$30)</f>
        <v>4.6511627906976744E-2</v>
      </c>
      <c r="AB39" s="90">
        <f>IF($AB$6=0,0,AB15/$AB$6*$AB$30)</f>
        <v>0</v>
      </c>
      <c r="AC39" s="99">
        <f>SUM(AD39:AG39)</f>
        <v>4.651162790697675E-2</v>
      </c>
      <c r="AD39" s="88">
        <f>IF($AD$6=0,0,AD15/$AD$6*$AD$30)</f>
        <v>0</v>
      </c>
      <c r="AE39" s="88">
        <f>IF($AE$6=0,0,AE15/$AE$6*$AE$30)</f>
        <v>0</v>
      </c>
      <c r="AF39" s="88">
        <f>IF($AF$6=0,0,AF15/$AF$6*$AF$30)</f>
        <v>4.651162790697675E-2</v>
      </c>
      <c r="AG39" s="88">
        <f>IF($AG$6=0,0,AG15/$AG$6*$AG$30)</f>
        <v>0</v>
      </c>
      <c r="AH39" s="2"/>
      <c r="AI39" s="2"/>
      <c r="AJ39" s="2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s="9" customFormat="1" x14ac:dyDescent="0.2">
      <c r="A40" s="5"/>
      <c r="B40" s="175" t="s">
        <v>22</v>
      </c>
      <c r="C40" s="79" t="s">
        <v>14</v>
      </c>
      <c r="D40" s="101">
        <f t="shared" si="8"/>
        <v>1.2590151153966243</v>
      </c>
      <c r="E40" s="102">
        <f t="shared" si="8"/>
        <v>0.59655834289187881</v>
      </c>
      <c r="F40" s="102">
        <f t="shared" si="8"/>
        <v>0.51810904174001537</v>
      </c>
      <c r="G40" s="102">
        <f t="shared" si="8"/>
        <v>0.13015197235214601</v>
      </c>
      <c r="H40" s="103">
        <f t="shared" si="6"/>
        <v>1.4195758412584027E-2</v>
      </c>
      <c r="I40" s="101">
        <f>SUM(J40:M40)</f>
        <v>1.2590151153966243</v>
      </c>
      <c r="J40" s="102">
        <f>J30*J41/100</f>
        <v>0.59655834289187881</v>
      </c>
      <c r="K40" s="102">
        <f>K30*K41/100</f>
        <v>0.51810904174001537</v>
      </c>
      <c r="L40" s="102">
        <f>L30*L41/100</f>
        <v>0.13015197235214601</v>
      </c>
      <c r="M40" s="104">
        <f>M30*M41/100</f>
        <v>1.4195758412584027E-2</v>
      </c>
      <c r="N40" s="101">
        <f>SUM(O40:R40)</f>
        <v>1.2590151153966243</v>
      </c>
      <c r="O40" s="102">
        <f>O30*O41/100</f>
        <v>0.59655834289187881</v>
      </c>
      <c r="P40" s="102">
        <f>P30*P41/100</f>
        <v>0.51810904174001537</v>
      </c>
      <c r="Q40" s="102">
        <f>Q30*Q41/100</f>
        <v>0.13015197235214601</v>
      </c>
      <c r="R40" s="104">
        <f>R30*R41/100</f>
        <v>1.4195758412584027E-2</v>
      </c>
      <c r="S40" s="101">
        <f t="shared" si="9"/>
        <v>3.2725615471895946</v>
      </c>
      <c r="T40" s="102">
        <f t="shared" si="9"/>
        <v>0.81873472133133252</v>
      </c>
      <c r="U40" s="102">
        <f t="shared" si="9"/>
        <v>1.0294034619000001</v>
      </c>
      <c r="V40" s="102">
        <f t="shared" si="9"/>
        <v>0.97510998760292578</v>
      </c>
      <c r="W40" s="104">
        <f t="shared" si="7"/>
        <v>0.44931337635533664</v>
      </c>
      <c r="X40" s="101">
        <f>SUM(Y40:AB40)</f>
        <v>3.2469789065672683</v>
      </c>
      <c r="Y40" s="102">
        <f>Y30*Y41/100</f>
        <v>0.82387318362033624</v>
      </c>
      <c r="Z40" s="102">
        <f>Z30*Z41/100</f>
        <v>0.99843305339999999</v>
      </c>
      <c r="AA40" s="102">
        <f>AA30*AA41/100</f>
        <v>0.97536434077896428</v>
      </c>
      <c r="AB40" s="104">
        <f>AB30*AB41/100</f>
        <v>0.44930832876796778</v>
      </c>
      <c r="AC40" s="101">
        <f>SUM(AD40:AG40)</f>
        <v>3.2981441878119213</v>
      </c>
      <c r="AD40" s="102">
        <f>AD30*AD41/100</f>
        <v>0.81359625904232868</v>
      </c>
      <c r="AE40" s="102">
        <f>AE30*AE41/100</f>
        <v>1.0603738704000001</v>
      </c>
      <c r="AF40" s="102">
        <f>AF30*AF41/100</f>
        <v>0.97485563442688727</v>
      </c>
      <c r="AG40" s="104">
        <f>AG30*AG41/100</f>
        <v>0.44931842394270549</v>
      </c>
      <c r="AH40" s="2"/>
      <c r="AI40" s="2"/>
      <c r="AJ40" s="2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s="9" customFormat="1" x14ac:dyDescent="0.2">
      <c r="A41" s="5"/>
      <c r="B41" s="175"/>
      <c r="C41" s="85" t="s">
        <v>23</v>
      </c>
      <c r="D41" s="105">
        <f>IF(D30=0,0,D40/D30*100)</f>
        <v>2.1511917961751008</v>
      </c>
      <c r="E41" s="106">
        <v>0</v>
      </c>
      <c r="F41" s="106">
        <v>0</v>
      </c>
      <c r="G41" s="106">
        <v>0</v>
      </c>
      <c r="H41" s="107">
        <v>0</v>
      </c>
      <c r="I41" s="105">
        <f>IF(I30=0,0,I40/I30*100)</f>
        <v>2.1511917961751008</v>
      </c>
      <c r="J41" s="108">
        <f t="shared" ref="J41:M42" si="10">J17</f>
        <v>1.6095999999999999</v>
      </c>
      <c r="K41" s="108">
        <f t="shared" si="10"/>
        <v>3.1497999999999999</v>
      </c>
      <c r="L41" s="108">
        <f t="shared" si="10"/>
        <v>2.2780999999999998</v>
      </c>
      <c r="M41" s="109">
        <f t="shared" si="10"/>
        <v>6.0587999999999997</v>
      </c>
      <c r="N41" s="105">
        <f>IF(N30=0,0,N40/N30*100)</f>
        <v>2.1511917961751008</v>
      </c>
      <c r="O41" s="108">
        <f t="shared" ref="O41:W41" si="11">O17</f>
        <v>1.6095999999999999</v>
      </c>
      <c r="P41" s="108">
        <f t="shared" si="11"/>
        <v>3.1497999999999999</v>
      </c>
      <c r="Q41" s="108">
        <f t="shared" si="11"/>
        <v>2.2780999999999998</v>
      </c>
      <c r="R41" s="109">
        <f t="shared" si="11"/>
        <v>6.0587999999999997</v>
      </c>
      <c r="S41" s="110">
        <f t="shared" si="11"/>
        <v>2.8788047779410424</v>
      </c>
      <c r="T41" s="110">
        <f t="shared" si="11"/>
        <v>1.6095999999999999</v>
      </c>
      <c r="U41" s="110">
        <f t="shared" si="11"/>
        <v>3.1497999999999999</v>
      </c>
      <c r="V41" s="110">
        <f t="shared" si="11"/>
        <v>2.2780999999999998</v>
      </c>
      <c r="W41" s="110">
        <f t="shared" si="11"/>
        <v>6.0587999999999997</v>
      </c>
      <c r="X41" s="111">
        <f>IF(X30=0,0,X40/X30*100)</f>
        <v>2.8564085385477691</v>
      </c>
      <c r="Y41" s="108">
        <f t="shared" ref="Y41:AB42" si="12">Y17</f>
        <v>1.6095999999999999</v>
      </c>
      <c r="Z41" s="108">
        <f t="shared" si="12"/>
        <v>3.1497999999999999</v>
      </c>
      <c r="AA41" s="108">
        <f t="shared" si="12"/>
        <v>2.2780999999999998</v>
      </c>
      <c r="AB41" s="109">
        <f t="shared" si="12"/>
        <v>6.0587616457703506</v>
      </c>
      <c r="AC41" s="105">
        <f>IF(AC30=0,0,AC40/AC30*100)</f>
        <v>2.9011989369520714</v>
      </c>
      <c r="AD41" s="108">
        <f t="shared" ref="AD41:AG42" si="13">AD17</f>
        <v>1.6095999999999999</v>
      </c>
      <c r="AE41" s="108">
        <f t="shared" si="13"/>
        <v>3.1497999999999999</v>
      </c>
      <c r="AF41" s="108">
        <f t="shared" si="13"/>
        <v>2.2780999999999998</v>
      </c>
      <c r="AG41" s="109">
        <f t="shared" si="13"/>
        <v>6.0588337090394795</v>
      </c>
      <c r="AH41" s="2"/>
      <c r="AI41" s="2"/>
      <c r="AJ41" s="2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s="9" customFormat="1" x14ac:dyDescent="0.2">
      <c r="A42" s="5"/>
      <c r="B42" s="112" t="s">
        <v>24</v>
      </c>
      <c r="C42" s="113" t="s">
        <v>14</v>
      </c>
      <c r="D42" s="101">
        <f>ROUND(SUM(E42:H42),4)</f>
        <v>0</v>
      </c>
      <c r="E42" s="102">
        <f>E18</f>
        <v>0</v>
      </c>
      <c r="F42" s="102">
        <f>F18</f>
        <v>0</v>
      </c>
      <c r="G42" s="102">
        <f>G18</f>
        <v>0</v>
      </c>
      <c r="H42" s="103">
        <f>H18</f>
        <v>0</v>
      </c>
      <c r="I42" s="101">
        <f>ROUND(SUM(J42:M42),4)</f>
        <v>0</v>
      </c>
      <c r="J42" s="102">
        <f t="shared" si="10"/>
        <v>0</v>
      </c>
      <c r="K42" s="102">
        <f t="shared" si="10"/>
        <v>0</v>
      </c>
      <c r="L42" s="102">
        <f t="shared" si="10"/>
        <v>0</v>
      </c>
      <c r="M42" s="104">
        <f t="shared" si="10"/>
        <v>0</v>
      </c>
      <c r="N42" s="101">
        <f>ROUND(SUM(O42:R42),4)</f>
        <v>0</v>
      </c>
      <c r="O42" s="102">
        <f>O18</f>
        <v>0</v>
      </c>
      <c r="P42" s="102">
        <f>P18</f>
        <v>0</v>
      </c>
      <c r="Q42" s="102">
        <f>Q18</f>
        <v>0</v>
      </c>
      <c r="R42" s="104">
        <f>R18</f>
        <v>0</v>
      </c>
      <c r="S42" s="101">
        <f>ROUND(SUM(T42:W42),4)</f>
        <v>52.168599999999998</v>
      </c>
      <c r="T42" s="102">
        <f>T18</f>
        <v>12.181009488853462</v>
      </c>
      <c r="U42" s="102">
        <f>U18</f>
        <v>6.448084420773827</v>
      </c>
      <c r="V42" s="102">
        <f>V18</f>
        <v>28.572903296356845</v>
      </c>
      <c r="W42" s="104">
        <f>W18</f>
        <v>4.9666185094964188</v>
      </c>
      <c r="X42" s="101">
        <f>SUM(Y42:AB42)</f>
        <v>52.168615715480556</v>
      </c>
      <c r="Y42" s="102">
        <f t="shared" si="12"/>
        <v>12.181009488853462</v>
      </c>
      <c r="Z42" s="102">
        <f t="shared" si="12"/>
        <v>6.448084420773827</v>
      </c>
      <c r="AA42" s="102">
        <f t="shared" si="12"/>
        <v>28.572903296356845</v>
      </c>
      <c r="AB42" s="104">
        <f t="shared" si="12"/>
        <v>4.9666185094964188</v>
      </c>
      <c r="AC42" s="101">
        <f>SUM(AD42:AG42)</f>
        <v>52.168615715480556</v>
      </c>
      <c r="AD42" s="102">
        <f t="shared" si="13"/>
        <v>12.181009488853462</v>
      </c>
      <c r="AE42" s="102">
        <f t="shared" si="13"/>
        <v>6.448084420773827</v>
      </c>
      <c r="AF42" s="102">
        <f t="shared" si="13"/>
        <v>28.572903296356845</v>
      </c>
      <c r="AG42" s="104">
        <f t="shared" si="13"/>
        <v>4.9666185094964188</v>
      </c>
      <c r="AH42" s="2"/>
      <c r="AI42" s="2"/>
      <c r="AJ42" s="2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s="9" customFormat="1" x14ac:dyDescent="0.2">
      <c r="A43" s="5"/>
      <c r="B43" s="114" t="s">
        <v>25</v>
      </c>
      <c r="C43" s="115" t="s">
        <v>14</v>
      </c>
      <c r="D43" s="101">
        <f t="shared" ref="D43:H45" si="14">(I43+N43)/2</f>
        <v>57.267400000000002</v>
      </c>
      <c r="E43" s="102">
        <f t="shared" si="14"/>
        <v>36.106746866650482</v>
      </c>
      <c r="F43" s="102">
        <f t="shared" si="14"/>
        <v>15.582577386296938</v>
      </c>
      <c r="G43" s="102">
        <f t="shared" si="14"/>
        <v>5.357977512862103</v>
      </c>
      <c r="H43" s="103">
        <f t="shared" si="14"/>
        <v>0.22010407674592969</v>
      </c>
      <c r="I43" s="101">
        <f>ROUND(SUM(J43:M43),4)</f>
        <v>57.267400000000002</v>
      </c>
      <c r="J43" s="102">
        <f>J44+J45</f>
        <v>36.106746866650482</v>
      </c>
      <c r="K43" s="102">
        <f>K44+K45</f>
        <v>15.582577386296938</v>
      </c>
      <c r="L43" s="102">
        <f>L44+L45</f>
        <v>5.357977512862103</v>
      </c>
      <c r="M43" s="104">
        <f>M44+M45</f>
        <v>0.22010407674592969</v>
      </c>
      <c r="N43" s="101">
        <f>ROUND(SUM(O43:R43),4)</f>
        <v>57.267400000000002</v>
      </c>
      <c r="O43" s="102">
        <f>O44+O45</f>
        <v>36.106746866650482</v>
      </c>
      <c r="P43" s="102">
        <f>P44+P45</f>
        <v>15.582577386296938</v>
      </c>
      <c r="Q43" s="102">
        <f>Q44+Q45</f>
        <v>5.357977512862103</v>
      </c>
      <c r="R43" s="104">
        <f>R44+R45</f>
        <v>0.22010407674592969</v>
      </c>
      <c r="S43" s="101">
        <f t="shared" ref="S43:W45" si="15">(X43+AC43)/2</f>
        <v>58.236616659859706</v>
      </c>
      <c r="T43" s="102">
        <f t="shared" si="15"/>
        <v>34.347231518650474</v>
      </c>
      <c r="U43" s="102">
        <f t="shared" si="15"/>
        <v>15.582577386296938</v>
      </c>
      <c r="V43" s="102">
        <f t="shared" si="15"/>
        <v>6.3068561558800003</v>
      </c>
      <c r="W43" s="104">
        <f t="shared" si="15"/>
        <v>1.9999515990322929</v>
      </c>
      <c r="X43" s="101">
        <f t="shared" ref="X43:AG43" si="16">X44+X45</f>
        <v>58.257882499613139</v>
      </c>
      <c r="Y43" s="102">
        <f t="shared" si="16"/>
        <v>34.357581518650477</v>
      </c>
      <c r="Z43" s="102">
        <f t="shared" si="16"/>
        <v>15.582577386296938</v>
      </c>
      <c r="AA43" s="102">
        <f t="shared" si="16"/>
        <v>6.3178061558800005</v>
      </c>
      <c r="AB43" s="104">
        <f t="shared" si="16"/>
        <v>1.9999174387857268</v>
      </c>
      <c r="AC43" s="101">
        <f t="shared" si="16"/>
        <v>58.215350820106281</v>
      </c>
      <c r="AD43" s="102">
        <f t="shared" si="16"/>
        <v>34.336881518650479</v>
      </c>
      <c r="AE43" s="102">
        <f t="shared" si="16"/>
        <v>15.582577386296938</v>
      </c>
      <c r="AF43" s="102">
        <f t="shared" si="16"/>
        <v>6.29590615588</v>
      </c>
      <c r="AG43" s="104">
        <f t="shared" si="16"/>
        <v>1.999985759278859</v>
      </c>
      <c r="AH43" s="2"/>
      <c r="AI43" s="2"/>
      <c r="AJ43" s="2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s="9" customFormat="1" x14ac:dyDescent="0.2">
      <c r="A44" s="5"/>
      <c r="B44" s="116" t="s">
        <v>26</v>
      </c>
      <c r="C44" s="117" t="s">
        <v>14</v>
      </c>
      <c r="D44" s="99">
        <f t="shared" si="14"/>
        <v>2.35E-2</v>
      </c>
      <c r="E44" s="88">
        <f t="shared" si="14"/>
        <v>0</v>
      </c>
      <c r="F44" s="88">
        <f t="shared" si="14"/>
        <v>0</v>
      </c>
      <c r="G44" s="88">
        <f t="shared" si="14"/>
        <v>0</v>
      </c>
      <c r="H44" s="89">
        <f t="shared" si="14"/>
        <v>2.3467797676136826E-2</v>
      </c>
      <c r="I44" s="99">
        <f>ROUND(SUM(J44:M44),4)</f>
        <v>2.35E-2</v>
      </c>
      <c r="J44" s="88">
        <f t="shared" ref="J44:M45" si="17">J20</f>
        <v>0</v>
      </c>
      <c r="K44" s="88">
        <f t="shared" si="17"/>
        <v>0</v>
      </c>
      <c r="L44" s="88">
        <f t="shared" si="17"/>
        <v>0</v>
      </c>
      <c r="M44" s="90">
        <f t="shared" si="17"/>
        <v>2.3467797676136826E-2</v>
      </c>
      <c r="N44" s="99">
        <f>ROUND(SUM(O44:R44),4)</f>
        <v>2.35E-2</v>
      </c>
      <c r="O44" s="88">
        <f t="shared" ref="O44:R45" si="18">O20</f>
        <v>0</v>
      </c>
      <c r="P44" s="88">
        <f t="shared" si="18"/>
        <v>0</v>
      </c>
      <c r="Q44" s="88">
        <f t="shared" si="18"/>
        <v>0</v>
      </c>
      <c r="R44" s="90">
        <f t="shared" si="18"/>
        <v>2.3467797676136826E-2</v>
      </c>
      <c r="S44" s="99">
        <f t="shared" si="15"/>
        <v>2.6999515990322931</v>
      </c>
      <c r="T44" s="88">
        <f t="shared" si="15"/>
        <v>0</v>
      </c>
      <c r="U44" s="88">
        <f t="shared" si="15"/>
        <v>0</v>
      </c>
      <c r="V44" s="88">
        <f t="shared" si="15"/>
        <v>0.7</v>
      </c>
      <c r="W44" s="90">
        <f t="shared" si="15"/>
        <v>1.9999515990322929</v>
      </c>
      <c r="X44" s="99">
        <f>SUM(Y44:AB44)</f>
        <v>2.699917438785727</v>
      </c>
      <c r="Y44" s="88">
        <f t="shared" ref="Y44:AB45" si="19">Y20</f>
        <v>0</v>
      </c>
      <c r="Z44" s="88">
        <f t="shared" si="19"/>
        <v>0</v>
      </c>
      <c r="AA44" s="88">
        <f t="shared" si="19"/>
        <v>0.7</v>
      </c>
      <c r="AB44" s="90">
        <f t="shared" si="19"/>
        <v>1.9999174387857268</v>
      </c>
      <c r="AC44" s="99">
        <f>SUM(AD44:AG44)</f>
        <v>2.6999857592788592</v>
      </c>
      <c r="AD44" s="88">
        <f t="shared" ref="AD44:AG45" si="20">AD20</f>
        <v>0</v>
      </c>
      <c r="AE44" s="88">
        <f t="shared" si="20"/>
        <v>0</v>
      </c>
      <c r="AF44" s="88">
        <f t="shared" si="20"/>
        <v>0.7</v>
      </c>
      <c r="AG44" s="90">
        <f t="shared" si="20"/>
        <v>1.999985759278859</v>
      </c>
      <c r="AH44" s="2"/>
      <c r="AI44" s="2"/>
      <c r="AJ44" s="2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s="9" customFormat="1" ht="13.5" thickBot="1" x14ac:dyDescent="0.25">
      <c r="A45" s="5"/>
      <c r="B45" s="118" t="s">
        <v>27</v>
      </c>
      <c r="C45" s="119" t="s">
        <v>14</v>
      </c>
      <c r="D45" s="99">
        <f t="shared" si="14"/>
        <v>57.243899999999996</v>
      </c>
      <c r="E45" s="88">
        <f t="shared" si="14"/>
        <v>36.106746866650482</v>
      </c>
      <c r="F45" s="88">
        <f t="shared" si="14"/>
        <v>15.582577386296938</v>
      </c>
      <c r="G45" s="88">
        <f t="shared" si="14"/>
        <v>5.357977512862103</v>
      </c>
      <c r="H45" s="89">
        <f t="shared" si="14"/>
        <v>0.19663627906979286</v>
      </c>
      <c r="I45" s="99">
        <f>ROUND(SUM(J45:M45),4)</f>
        <v>57.243899999999996</v>
      </c>
      <c r="J45" s="88">
        <f t="shared" si="17"/>
        <v>36.106746866650482</v>
      </c>
      <c r="K45" s="88">
        <f t="shared" si="17"/>
        <v>15.582577386296938</v>
      </c>
      <c r="L45" s="88">
        <f t="shared" si="17"/>
        <v>5.357977512862103</v>
      </c>
      <c r="M45" s="90">
        <f t="shared" si="17"/>
        <v>0.19663627906979286</v>
      </c>
      <c r="N45" s="99">
        <f>ROUND(SUM(O45:R45),4)</f>
        <v>57.243899999999996</v>
      </c>
      <c r="O45" s="88">
        <f t="shared" si="18"/>
        <v>36.106746866650482</v>
      </c>
      <c r="P45" s="88">
        <f t="shared" si="18"/>
        <v>15.582577386296938</v>
      </c>
      <c r="Q45" s="88">
        <f t="shared" si="18"/>
        <v>5.357977512862103</v>
      </c>
      <c r="R45" s="90">
        <f t="shared" si="18"/>
        <v>0.19663627906979286</v>
      </c>
      <c r="S45" s="120">
        <f t="shared" si="15"/>
        <v>55.536665060827417</v>
      </c>
      <c r="T45" s="121">
        <f t="shared" si="15"/>
        <v>34.347231518650474</v>
      </c>
      <c r="U45" s="121">
        <f t="shared" si="15"/>
        <v>15.582577386296938</v>
      </c>
      <c r="V45" s="121">
        <f t="shared" si="15"/>
        <v>5.6068561558800001</v>
      </c>
      <c r="W45" s="122">
        <f t="shared" si="15"/>
        <v>0</v>
      </c>
      <c r="X45" s="120">
        <f>SUM(Y45:AB45)</f>
        <v>55.557965060827414</v>
      </c>
      <c r="Y45" s="121">
        <f t="shared" si="19"/>
        <v>34.357581518650477</v>
      </c>
      <c r="Z45" s="121">
        <f t="shared" si="19"/>
        <v>15.582577386296938</v>
      </c>
      <c r="AA45" s="121">
        <f t="shared" si="19"/>
        <v>5.6178061558800003</v>
      </c>
      <c r="AB45" s="122">
        <f t="shared" si="19"/>
        <v>0</v>
      </c>
      <c r="AC45" s="120">
        <f>SUM(AD45:AG45)</f>
        <v>55.515365060827421</v>
      </c>
      <c r="AD45" s="121">
        <f t="shared" si="20"/>
        <v>34.336881518650479</v>
      </c>
      <c r="AE45" s="121">
        <f t="shared" si="20"/>
        <v>15.582577386296938</v>
      </c>
      <c r="AF45" s="121">
        <f t="shared" si="20"/>
        <v>5.5959061558799998</v>
      </c>
      <c r="AG45" s="122">
        <f t="shared" si="20"/>
        <v>0</v>
      </c>
      <c r="AH45" s="2"/>
      <c r="AI45" s="2"/>
      <c r="AJ45" s="2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s="70" customFormat="1" ht="13.5" thickBot="1" x14ac:dyDescent="0.25">
      <c r="A46" s="61"/>
      <c r="B46" s="62" t="s">
        <v>29</v>
      </c>
      <c r="C46" s="63" t="s">
        <v>16</v>
      </c>
      <c r="D46" s="123">
        <f>(I46+N46)/2</f>
        <v>0</v>
      </c>
      <c r="E46" s="124">
        <f>(J46+O46)/2</f>
        <v>0</v>
      </c>
      <c r="F46" s="124">
        <f>(K46+P46)/2</f>
        <v>0</v>
      </c>
      <c r="G46" s="124">
        <f>(L46+Q46)/2</f>
        <v>0</v>
      </c>
      <c r="H46" s="125">
        <v>0</v>
      </c>
      <c r="I46" s="123">
        <f>ROUND(SUM(J46:M46),4)</f>
        <v>0</v>
      </c>
      <c r="J46" s="124"/>
      <c r="K46" s="124"/>
      <c r="L46" s="124"/>
      <c r="M46" s="126"/>
      <c r="N46" s="123">
        <f>ROUND(SUM(O46:R46),4)</f>
        <v>0</v>
      </c>
      <c r="O46" s="124"/>
      <c r="P46" s="124"/>
      <c r="Q46" s="124"/>
      <c r="R46" s="126"/>
      <c r="S46" s="127">
        <f>(X46+AC46)/2</f>
        <v>0</v>
      </c>
      <c r="T46" s="128">
        <f>(Y46+AD46)/2</f>
        <v>0</v>
      </c>
      <c r="U46" s="128">
        <f>(Z46+AE46)/2</f>
        <v>0</v>
      </c>
      <c r="V46" s="128">
        <f>(AA46+AF46)/2</f>
        <v>0</v>
      </c>
      <c r="W46" s="129">
        <v>0</v>
      </c>
      <c r="X46" s="127">
        <f>ROUND(SUM(Y46:AB46),4)</f>
        <v>0</v>
      </c>
      <c r="Y46" s="128"/>
      <c r="Z46" s="128"/>
      <c r="AA46" s="128"/>
      <c r="AB46" s="129"/>
      <c r="AC46" s="127">
        <f>ROUND(SUM(AD46:AG46),4)</f>
        <v>0</v>
      </c>
      <c r="AD46" s="128"/>
      <c r="AE46" s="128"/>
      <c r="AF46" s="128"/>
      <c r="AG46" s="129"/>
      <c r="AH46" s="68"/>
      <c r="AI46" s="68"/>
      <c r="AJ46" s="68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s="9" customFormat="1" x14ac:dyDescent="0.2">
      <c r="A47" s="5"/>
      <c r="B47" s="5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2"/>
      <c r="AI47" s="2"/>
      <c r="AJ47" s="2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s="9" customFormat="1" x14ac:dyDescent="0.2">
      <c r="A48" s="5"/>
      <c r="B48" s="5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2"/>
      <c r="AI48" s="2"/>
      <c r="AJ48" s="2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s="9" customFormat="1" x14ac:dyDescent="0.2">
      <c r="A49" s="5"/>
      <c r="B49" s="6" t="s">
        <v>32</v>
      </c>
      <c r="C49" s="72"/>
      <c r="D49" s="73"/>
      <c r="E49" s="74"/>
      <c r="F49" s="74"/>
      <c r="G49" s="74"/>
      <c r="H49" s="74"/>
      <c r="I49" s="73"/>
      <c r="J49" s="75"/>
      <c r="K49" s="75"/>
      <c r="L49" s="75"/>
      <c r="M49" s="75"/>
      <c r="N49" s="73"/>
      <c r="O49" s="75"/>
      <c r="P49" s="75"/>
      <c r="Q49" s="75"/>
      <c r="R49" s="75"/>
      <c r="S49" s="73"/>
      <c r="T49" s="74"/>
      <c r="U49" s="74"/>
      <c r="V49" s="74"/>
      <c r="W49" s="74"/>
      <c r="X49" s="73"/>
      <c r="Y49" s="75"/>
      <c r="Z49" s="75"/>
      <c r="AA49" s="75"/>
      <c r="AB49" s="75"/>
      <c r="AC49" s="73"/>
      <c r="AD49" s="75"/>
      <c r="AE49" s="75"/>
      <c r="AF49" s="75"/>
      <c r="AG49" s="75"/>
      <c r="AH49" s="2"/>
      <c r="AI49" s="2"/>
      <c r="AJ49" s="2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s="9" customFormat="1" ht="13.5" thickBot="1" x14ac:dyDescent="0.25">
      <c r="A50" s="5"/>
      <c r="B50" s="5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2"/>
      <c r="AI50" s="2"/>
      <c r="AJ50" s="2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s="9" customFormat="1" x14ac:dyDescent="0.2">
      <c r="A51" s="5"/>
      <c r="B51" s="176" t="s">
        <v>1</v>
      </c>
      <c r="C51" s="176" t="s">
        <v>31</v>
      </c>
      <c r="D51" s="179" t="s">
        <v>3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1"/>
      <c r="S51" s="182" t="s">
        <v>4</v>
      </c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4"/>
      <c r="AH51" s="2"/>
      <c r="AI51" s="2"/>
      <c r="AJ51" s="2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9" customFormat="1" x14ac:dyDescent="0.2">
      <c r="A52" s="5"/>
      <c r="B52" s="177"/>
      <c r="C52" s="177"/>
      <c r="D52" s="185" t="s">
        <v>5</v>
      </c>
      <c r="E52" s="171"/>
      <c r="F52" s="171"/>
      <c r="G52" s="171"/>
      <c r="H52" s="171"/>
      <c r="I52" s="171" t="s">
        <v>6</v>
      </c>
      <c r="J52" s="171"/>
      <c r="K52" s="171"/>
      <c r="L52" s="171"/>
      <c r="M52" s="171"/>
      <c r="N52" s="171" t="s">
        <v>7</v>
      </c>
      <c r="O52" s="171"/>
      <c r="P52" s="171"/>
      <c r="Q52" s="171"/>
      <c r="R52" s="186"/>
      <c r="S52" s="185" t="s">
        <v>5</v>
      </c>
      <c r="T52" s="171"/>
      <c r="U52" s="171"/>
      <c r="V52" s="171"/>
      <c r="W52" s="171"/>
      <c r="X52" s="171" t="s">
        <v>6</v>
      </c>
      <c r="Y52" s="171"/>
      <c r="Z52" s="171"/>
      <c r="AA52" s="171"/>
      <c r="AB52" s="171"/>
      <c r="AC52" s="171" t="s">
        <v>7</v>
      </c>
      <c r="AD52" s="171"/>
      <c r="AE52" s="171"/>
      <c r="AF52" s="171"/>
      <c r="AG52" s="172"/>
      <c r="AH52" s="2"/>
      <c r="AI52" s="2"/>
      <c r="AJ52" s="2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s="9" customFormat="1" ht="13.5" thickBot="1" x14ac:dyDescent="0.25">
      <c r="A53" s="5"/>
      <c r="B53" s="178"/>
      <c r="C53" s="178"/>
      <c r="D53" s="10" t="s">
        <v>8</v>
      </c>
      <c r="E53" s="11" t="s">
        <v>9</v>
      </c>
      <c r="F53" s="11" t="s">
        <v>10</v>
      </c>
      <c r="G53" s="11" t="s">
        <v>11</v>
      </c>
      <c r="H53" s="11" t="s">
        <v>12</v>
      </c>
      <c r="I53" s="11" t="s">
        <v>8</v>
      </c>
      <c r="J53" s="11" t="s">
        <v>9</v>
      </c>
      <c r="K53" s="11" t="s">
        <v>10</v>
      </c>
      <c r="L53" s="11" t="s">
        <v>11</v>
      </c>
      <c r="M53" s="11" t="s">
        <v>12</v>
      </c>
      <c r="N53" s="11" t="s">
        <v>8</v>
      </c>
      <c r="O53" s="11" t="s">
        <v>9</v>
      </c>
      <c r="P53" s="11" t="s">
        <v>10</v>
      </c>
      <c r="Q53" s="11" t="s">
        <v>11</v>
      </c>
      <c r="R53" s="12" t="s">
        <v>12</v>
      </c>
      <c r="S53" s="10" t="s">
        <v>8</v>
      </c>
      <c r="T53" s="11" t="s">
        <v>9</v>
      </c>
      <c r="U53" s="11" t="s">
        <v>10</v>
      </c>
      <c r="V53" s="11" t="s">
        <v>11</v>
      </c>
      <c r="W53" s="11" t="s">
        <v>12</v>
      </c>
      <c r="X53" s="77" t="s">
        <v>8</v>
      </c>
      <c r="Y53" s="77" t="s">
        <v>9</v>
      </c>
      <c r="Z53" s="77" t="s">
        <v>10</v>
      </c>
      <c r="AA53" s="77" t="s">
        <v>11</v>
      </c>
      <c r="AB53" s="77" t="s">
        <v>12</v>
      </c>
      <c r="AC53" s="11" t="s">
        <v>8</v>
      </c>
      <c r="AD53" s="11" t="s">
        <v>9</v>
      </c>
      <c r="AE53" s="11" t="s">
        <v>10</v>
      </c>
      <c r="AF53" s="11" t="s">
        <v>11</v>
      </c>
      <c r="AG53" s="13" t="s">
        <v>12</v>
      </c>
      <c r="AH53" s="2"/>
      <c r="AI53" s="2"/>
      <c r="AJ53" s="2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s="9" customFormat="1" x14ac:dyDescent="0.2">
      <c r="A54" s="5"/>
      <c r="B54" s="78" t="s">
        <v>33</v>
      </c>
      <c r="C54" s="130" t="s">
        <v>34</v>
      </c>
      <c r="D54" s="80">
        <f>I54+N54</f>
        <v>104.95441399858926</v>
      </c>
      <c r="E54" s="81">
        <f>J54+O54</f>
        <v>27.574560110466876</v>
      </c>
      <c r="F54" s="81">
        <f>K54+P54</f>
        <v>16.52449993279162</v>
      </c>
      <c r="G54" s="81">
        <f>L54+Q54</f>
        <v>69.012685637941331</v>
      </c>
      <c r="H54" s="83">
        <f>M54+R54</f>
        <v>9.7308348574294712</v>
      </c>
      <c r="I54" s="80">
        <f>I66+I64</f>
        <v>52.47720699929463</v>
      </c>
      <c r="J54" s="81">
        <f>J63+J62+J61+J60</f>
        <v>13.787280055233438</v>
      </c>
      <c r="K54" s="81">
        <f>K63+K62+K61+K60+K55</f>
        <v>8.2622499663958102</v>
      </c>
      <c r="L54" s="81">
        <f>L63+L62+L61+L60+L55</f>
        <v>34.506342818970666</v>
      </c>
      <c r="M54" s="83">
        <f>M63+M62+M61+M60+M55</f>
        <v>4.8654174287147356</v>
      </c>
      <c r="N54" s="80">
        <f>N66+N64</f>
        <v>52.47720699929463</v>
      </c>
      <c r="O54" s="81">
        <f>O63+O62+O61+O60</f>
        <v>13.787280055233438</v>
      </c>
      <c r="P54" s="81">
        <f>P63+P62+P61+P60+P55</f>
        <v>8.2622499663958102</v>
      </c>
      <c r="Q54" s="81">
        <f>Q63+Q62+Q61+Q60+Q55</f>
        <v>34.506342818970666</v>
      </c>
      <c r="R54" s="83">
        <f>R63+R62+R61+R60+R55</f>
        <v>4.8654174287147356</v>
      </c>
      <c r="S54" s="80">
        <f>X54+AC54</f>
        <v>0</v>
      </c>
      <c r="T54" s="81">
        <f>Y54+AD54</f>
        <v>4.8542359444958549E-5</v>
      </c>
      <c r="U54" s="81">
        <f>Z54+AE54</f>
        <v>0</v>
      </c>
      <c r="V54" s="81">
        <f>AA54+AF54</f>
        <v>0</v>
      </c>
      <c r="W54" s="82">
        <f>AB54+AG54</f>
        <v>0</v>
      </c>
      <c r="X54" s="80">
        <f>X66+X64</f>
        <v>0</v>
      </c>
      <c r="Y54" s="81">
        <f>Y63+Y62+Y61+Y60</f>
        <v>3.5808899721878618E-5</v>
      </c>
      <c r="Z54" s="81">
        <f>Z63+Z62+Z61+Z60+Z55</f>
        <v>0</v>
      </c>
      <c r="AA54" s="81">
        <f>AA63+AA62+AA61+AA60+AA55</f>
        <v>0</v>
      </c>
      <c r="AB54" s="83">
        <f>AB63+AB62+AB61+AB60+AB55</f>
        <v>0</v>
      </c>
      <c r="AC54" s="131">
        <f>AC66+AC64</f>
        <v>0</v>
      </c>
      <c r="AD54" s="81">
        <f>AD63+AD62+AD61+AD60</f>
        <v>1.2733459723079932E-5</v>
      </c>
      <c r="AE54" s="81">
        <f>AE63+AE62+AE61+AE60+AE55</f>
        <v>0</v>
      </c>
      <c r="AF54" s="81">
        <f>AF63+AF62+AF61+AF60+AF55</f>
        <v>0</v>
      </c>
      <c r="AG54" s="83">
        <f>AG63+AG62+AG61+AG60+AG55</f>
        <v>0</v>
      </c>
      <c r="AH54" s="2"/>
      <c r="AI54" s="2"/>
      <c r="AJ54" s="2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s="9" customFormat="1" x14ac:dyDescent="0.2">
      <c r="A55" s="5"/>
      <c r="B55" s="84" t="s">
        <v>15</v>
      </c>
      <c r="C55" s="22" t="s">
        <v>34</v>
      </c>
      <c r="D55" s="86" t="s">
        <v>16</v>
      </c>
      <c r="E55" s="87" t="s">
        <v>16</v>
      </c>
      <c r="F55" s="88">
        <f>K55+P55</f>
        <v>0</v>
      </c>
      <c r="G55" s="88">
        <f>L55+Q55</f>
        <v>8.546039739725078</v>
      </c>
      <c r="H55" s="90">
        <f>M55+R55</f>
        <v>9.3466973223756433</v>
      </c>
      <c r="I55" s="86" t="s">
        <v>16</v>
      </c>
      <c r="J55" s="87" t="s">
        <v>16</v>
      </c>
      <c r="K55" s="88">
        <f>K57</f>
        <v>0</v>
      </c>
      <c r="L55" s="88">
        <f>L57+L58</f>
        <v>4.273019869862539</v>
      </c>
      <c r="M55" s="90">
        <f>M59</f>
        <v>4.6733486611878217</v>
      </c>
      <c r="N55" s="86" t="s">
        <v>16</v>
      </c>
      <c r="O55" s="87" t="s">
        <v>16</v>
      </c>
      <c r="P55" s="88">
        <f>P57</f>
        <v>0</v>
      </c>
      <c r="Q55" s="88">
        <f>Q57+Q58</f>
        <v>4.273019869862539</v>
      </c>
      <c r="R55" s="90">
        <f>R59</f>
        <v>4.6733486611878217</v>
      </c>
      <c r="S55" s="86" t="s">
        <v>16</v>
      </c>
      <c r="T55" s="87" t="s">
        <v>16</v>
      </c>
      <c r="U55" s="88">
        <f>Z55+AE55</f>
        <v>0</v>
      </c>
      <c r="V55" s="88">
        <f>AA55+AF55</f>
        <v>0</v>
      </c>
      <c r="W55" s="89">
        <f>AB55+AG55</f>
        <v>0</v>
      </c>
      <c r="X55" s="86" t="s">
        <v>16</v>
      </c>
      <c r="Y55" s="87" t="s">
        <v>16</v>
      </c>
      <c r="Z55" s="88">
        <f>Z57</f>
        <v>0</v>
      </c>
      <c r="AA55" s="88">
        <f>AA57+AA58</f>
        <v>0</v>
      </c>
      <c r="AB55" s="90">
        <f>AB59</f>
        <v>0</v>
      </c>
      <c r="AC55" s="132" t="s">
        <v>16</v>
      </c>
      <c r="AD55" s="87" t="s">
        <v>16</v>
      </c>
      <c r="AE55" s="88">
        <f>AE57</f>
        <v>0</v>
      </c>
      <c r="AF55" s="88">
        <f>AF57+AF58</f>
        <v>0</v>
      </c>
      <c r="AG55" s="90">
        <f>AG59</f>
        <v>0</v>
      </c>
      <c r="AH55" s="2"/>
      <c r="AI55" s="2"/>
      <c r="AJ55" s="2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s="9" customFormat="1" x14ac:dyDescent="0.2">
      <c r="A56" s="5"/>
      <c r="B56" s="84" t="s">
        <v>17</v>
      </c>
      <c r="C56" s="22" t="s">
        <v>34</v>
      </c>
      <c r="D56" s="86" t="s">
        <v>16</v>
      </c>
      <c r="E56" s="87" t="s">
        <v>16</v>
      </c>
      <c r="F56" s="87" t="s">
        <v>16</v>
      </c>
      <c r="G56" s="87" t="s">
        <v>16</v>
      </c>
      <c r="H56" s="92" t="s">
        <v>16</v>
      </c>
      <c r="I56" s="86" t="s">
        <v>16</v>
      </c>
      <c r="J56" s="87" t="s">
        <v>16</v>
      </c>
      <c r="K56" s="87" t="s">
        <v>16</v>
      </c>
      <c r="L56" s="87" t="s">
        <v>16</v>
      </c>
      <c r="M56" s="92" t="s">
        <v>16</v>
      </c>
      <c r="N56" s="86" t="s">
        <v>16</v>
      </c>
      <c r="O56" s="87" t="s">
        <v>16</v>
      </c>
      <c r="P56" s="87" t="s">
        <v>16</v>
      </c>
      <c r="Q56" s="87" t="s">
        <v>16</v>
      </c>
      <c r="R56" s="92" t="s">
        <v>16</v>
      </c>
      <c r="S56" s="86" t="s">
        <v>16</v>
      </c>
      <c r="T56" s="87" t="s">
        <v>16</v>
      </c>
      <c r="U56" s="87" t="s">
        <v>16</v>
      </c>
      <c r="V56" s="87" t="s">
        <v>16</v>
      </c>
      <c r="W56" s="91" t="s">
        <v>16</v>
      </c>
      <c r="X56" s="86" t="s">
        <v>16</v>
      </c>
      <c r="Y56" s="87" t="s">
        <v>16</v>
      </c>
      <c r="Z56" s="87" t="s">
        <v>16</v>
      </c>
      <c r="AA56" s="87" t="s">
        <v>16</v>
      </c>
      <c r="AB56" s="92" t="s">
        <v>16</v>
      </c>
      <c r="AC56" s="132" t="s">
        <v>16</v>
      </c>
      <c r="AD56" s="87" t="s">
        <v>16</v>
      </c>
      <c r="AE56" s="87" t="s">
        <v>16</v>
      </c>
      <c r="AF56" s="87" t="s">
        <v>16</v>
      </c>
      <c r="AG56" s="92" t="s">
        <v>16</v>
      </c>
      <c r="AH56" s="2"/>
      <c r="AI56" s="2"/>
      <c r="AJ56" s="2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s="9" customFormat="1" x14ac:dyDescent="0.2">
      <c r="A57" s="5"/>
      <c r="B57" s="93" t="s">
        <v>9</v>
      </c>
      <c r="C57" s="33" t="s">
        <v>34</v>
      </c>
      <c r="D57" s="95" t="s">
        <v>16</v>
      </c>
      <c r="E57" s="96" t="s">
        <v>16</v>
      </c>
      <c r="F57" s="88">
        <f>K57+P57</f>
        <v>0</v>
      </c>
      <c r="G57" s="88">
        <f>L57+Q57</f>
        <v>4.3391678132349716</v>
      </c>
      <c r="H57" s="98" t="s">
        <v>16</v>
      </c>
      <c r="I57" s="95" t="s">
        <v>16</v>
      </c>
      <c r="J57" s="96" t="s">
        <v>16</v>
      </c>
      <c r="K57" s="88">
        <f>K9-K33</f>
        <v>0</v>
      </c>
      <c r="L57" s="88">
        <f>L9-L33</f>
        <v>2.1695839066174858</v>
      </c>
      <c r="M57" s="92" t="s">
        <v>16</v>
      </c>
      <c r="N57" s="95" t="s">
        <v>16</v>
      </c>
      <c r="O57" s="96" t="s">
        <v>16</v>
      </c>
      <c r="P57" s="88">
        <f>P9-P33</f>
        <v>0</v>
      </c>
      <c r="Q57" s="88">
        <f>Q9-Q33</f>
        <v>2.1695839066174858</v>
      </c>
      <c r="R57" s="92" t="s">
        <v>16</v>
      </c>
      <c r="S57" s="95" t="s">
        <v>16</v>
      </c>
      <c r="T57" s="96" t="s">
        <v>16</v>
      </c>
      <c r="U57" s="88">
        <f>Z57+AE57</f>
        <v>0</v>
      </c>
      <c r="V57" s="88">
        <f>AA57+AF57</f>
        <v>0</v>
      </c>
      <c r="W57" s="97" t="s">
        <v>16</v>
      </c>
      <c r="X57" s="95" t="s">
        <v>16</v>
      </c>
      <c r="Y57" s="96" t="s">
        <v>16</v>
      </c>
      <c r="Z57" s="88">
        <f>Z9-Z33</f>
        <v>0</v>
      </c>
      <c r="AA57" s="88">
        <f>AA9-AA33</f>
        <v>0</v>
      </c>
      <c r="AB57" s="92" t="s">
        <v>16</v>
      </c>
      <c r="AC57" s="133" t="s">
        <v>16</v>
      </c>
      <c r="AD57" s="96" t="s">
        <v>16</v>
      </c>
      <c r="AE57" s="88">
        <f>AE9-AE33</f>
        <v>0</v>
      </c>
      <c r="AF57" s="88">
        <f>AF9-AF33</f>
        <v>0</v>
      </c>
      <c r="AG57" s="92" t="s">
        <v>16</v>
      </c>
      <c r="AH57" s="2"/>
      <c r="AI57" s="2"/>
      <c r="AJ57" s="2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s="9" customFormat="1" x14ac:dyDescent="0.2">
      <c r="A58" s="5"/>
      <c r="B58" s="93" t="s">
        <v>10</v>
      </c>
      <c r="C58" s="33" t="s">
        <v>34</v>
      </c>
      <c r="D58" s="95" t="s">
        <v>16</v>
      </c>
      <c r="E58" s="96" t="s">
        <v>16</v>
      </c>
      <c r="F58" s="87" t="s">
        <v>16</v>
      </c>
      <c r="G58" s="88">
        <f>L58+Q58</f>
        <v>4.2068719264901064</v>
      </c>
      <c r="H58" s="98" t="s">
        <v>16</v>
      </c>
      <c r="I58" s="95" t="s">
        <v>16</v>
      </c>
      <c r="J58" s="96" t="s">
        <v>16</v>
      </c>
      <c r="K58" s="96" t="s">
        <v>16</v>
      </c>
      <c r="L58" s="88">
        <f>L10-L34</f>
        <v>2.1034359632450532</v>
      </c>
      <c r="M58" s="92" t="s">
        <v>16</v>
      </c>
      <c r="N58" s="95" t="s">
        <v>16</v>
      </c>
      <c r="O58" s="96" t="s">
        <v>16</v>
      </c>
      <c r="P58" s="96" t="s">
        <v>16</v>
      </c>
      <c r="Q58" s="88">
        <f>Q10-Q34</f>
        <v>2.1034359632450532</v>
      </c>
      <c r="R58" s="92" t="s">
        <v>16</v>
      </c>
      <c r="S58" s="95" t="s">
        <v>16</v>
      </c>
      <c r="T58" s="96" t="s">
        <v>16</v>
      </c>
      <c r="U58" s="87" t="s">
        <v>16</v>
      </c>
      <c r="V58" s="88">
        <f>AA58+AF58</f>
        <v>0</v>
      </c>
      <c r="W58" s="97" t="s">
        <v>16</v>
      </c>
      <c r="X58" s="95" t="s">
        <v>16</v>
      </c>
      <c r="Y58" s="96" t="s">
        <v>16</v>
      </c>
      <c r="Z58" s="96" t="s">
        <v>16</v>
      </c>
      <c r="AA58" s="88">
        <f>AA10-AA34</f>
        <v>0</v>
      </c>
      <c r="AB58" s="92" t="s">
        <v>16</v>
      </c>
      <c r="AC58" s="133" t="s">
        <v>16</v>
      </c>
      <c r="AD58" s="96" t="s">
        <v>16</v>
      </c>
      <c r="AE58" s="96" t="s">
        <v>16</v>
      </c>
      <c r="AF58" s="88">
        <f>AF10-AF34</f>
        <v>0</v>
      </c>
      <c r="AG58" s="92" t="s">
        <v>16</v>
      </c>
      <c r="AH58" s="2"/>
      <c r="AI58" s="2"/>
      <c r="AJ58" s="2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s="9" customFormat="1" x14ac:dyDescent="0.2">
      <c r="A59" s="5"/>
      <c r="B59" s="93" t="s">
        <v>11</v>
      </c>
      <c r="C59" s="33" t="s">
        <v>34</v>
      </c>
      <c r="D59" s="95" t="s">
        <v>16</v>
      </c>
      <c r="E59" s="96" t="s">
        <v>16</v>
      </c>
      <c r="F59" s="96" t="s">
        <v>16</v>
      </c>
      <c r="G59" s="96" t="s">
        <v>16</v>
      </c>
      <c r="H59" s="90">
        <f t="shared" ref="H59:H64" si="21">M59+R59</f>
        <v>9.3466973223756433</v>
      </c>
      <c r="I59" s="95" t="s">
        <v>16</v>
      </c>
      <c r="J59" s="96" t="s">
        <v>16</v>
      </c>
      <c r="K59" s="96" t="s">
        <v>16</v>
      </c>
      <c r="L59" s="96" t="s">
        <v>16</v>
      </c>
      <c r="M59" s="90">
        <f>M11-M35</f>
        <v>4.6733486611878217</v>
      </c>
      <c r="N59" s="95" t="s">
        <v>16</v>
      </c>
      <c r="O59" s="96" t="s">
        <v>16</v>
      </c>
      <c r="P59" s="96" t="s">
        <v>16</v>
      </c>
      <c r="Q59" s="96" t="s">
        <v>16</v>
      </c>
      <c r="R59" s="90">
        <f>R11-R35</f>
        <v>4.6733486611878217</v>
      </c>
      <c r="S59" s="95" t="s">
        <v>16</v>
      </c>
      <c r="T59" s="96" t="s">
        <v>16</v>
      </c>
      <c r="U59" s="96" t="s">
        <v>16</v>
      </c>
      <c r="V59" s="96" t="s">
        <v>16</v>
      </c>
      <c r="W59" s="89">
        <f t="shared" ref="W59:W64" si="22">AB59+AG59</f>
        <v>0</v>
      </c>
      <c r="X59" s="95" t="s">
        <v>16</v>
      </c>
      <c r="Y59" s="96" t="s">
        <v>16</v>
      </c>
      <c r="Z59" s="96" t="s">
        <v>16</v>
      </c>
      <c r="AA59" s="96" t="s">
        <v>16</v>
      </c>
      <c r="AB59" s="90">
        <f>AB11-AB35</f>
        <v>0</v>
      </c>
      <c r="AC59" s="133" t="s">
        <v>16</v>
      </c>
      <c r="AD59" s="96" t="s">
        <v>16</v>
      </c>
      <c r="AE59" s="96" t="s">
        <v>16</v>
      </c>
      <c r="AF59" s="96" t="s">
        <v>16</v>
      </c>
      <c r="AG59" s="90">
        <f>AG11-AG35</f>
        <v>0</v>
      </c>
      <c r="AH59" s="2"/>
      <c r="AI59" s="2"/>
      <c r="AJ59" s="2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s="9" customFormat="1" x14ac:dyDescent="0.2">
      <c r="A60" s="5"/>
      <c r="B60" s="93" t="s">
        <v>18</v>
      </c>
      <c r="C60" s="33" t="s">
        <v>34</v>
      </c>
      <c r="D60" s="99">
        <f t="shared" ref="D60:G64" si="23">I60+N60</f>
        <v>52.004846922761757</v>
      </c>
      <c r="E60" s="88">
        <f t="shared" si="23"/>
        <v>0</v>
      </c>
      <c r="F60" s="88">
        <f t="shared" si="23"/>
        <v>0</v>
      </c>
      <c r="G60" s="88">
        <f t="shared" si="23"/>
        <v>52.004846922761757</v>
      </c>
      <c r="H60" s="90">
        <f t="shared" si="21"/>
        <v>0</v>
      </c>
      <c r="I60" s="99">
        <f>SUM(J60:M60)</f>
        <v>26.002423461380879</v>
      </c>
      <c r="J60" s="88">
        <f t="shared" ref="J60:L63" si="24">J12-J36</f>
        <v>0</v>
      </c>
      <c r="K60" s="88">
        <f t="shared" si="24"/>
        <v>0</v>
      </c>
      <c r="L60" s="88">
        <f t="shared" si="24"/>
        <v>26.002423461380879</v>
      </c>
      <c r="M60" s="90">
        <f>M12-M36</f>
        <v>0</v>
      </c>
      <c r="N60" s="99">
        <f>SUM(O60:R60)</f>
        <v>26.002423461380879</v>
      </c>
      <c r="O60" s="88">
        <f t="shared" ref="O60:Q63" si="25">O12-O36</f>
        <v>0</v>
      </c>
      <c r="P60" s="88">
        <f t="shared" si="25"/>
        <v>0</v>
      </c>
      <c r="Q60" s="88">
        <f t="shared" si="25"/>
        <v>26.002423461380879</v>
      </c>
      <c r="R60" s="90">
        <f>R12-R36</f>
        <v>0</v>
      </c>
      <c r="S60" s="99">
        <f t="shared" ref="S60:V64" si="26">X60+AC60</f>
        <v>0</v>
      </c>
      <c r="T60" s="88">
        <f t="shared" si="26"/>
        <v>0</v>
      </c>
      <c r="U60" s="88">
        <f t="shared" si="26"/>
        <v>0</v>
      </c>
      <c r="V60" s="88">
        <f t="shared" si="26"/>
        <v>0</v>
      </c>
      <c r="W60" s="89">
        <f t="shared" si="22"/>
        <v>0</v>
      </c>
      <c r="X60" s="99">
        <f>SUM(Y60:AB60)</f>
        <v>0</v>
      </c>
      <c r="Y60" s="88">
        <f t="shared" ref="Y60:AA63" si="27">Y12-Y36</f>
        <v>0</v>
      </c>
      <c r="Z60" s="88">
        <f t="shared" si="27"/>
        <v>0</v>
      </c>
      <c r="AA60" s="88">
        <f t="shared" si="27"/>
        <v>0</v>
      </c>
      <c r="AB60" s="90">
        <f>AB12-AB36</f>
        <v>0</v>
      </c>
      <c r="AC60" s="134">
        <f>SUM(AD60:AG60)</f>
        <v>0</v>
      </c>
      <c r="AD60" s="88">
        <f t="shared" ref="AD60:AF63" si="28">AD12-AD36</f>
        <v>0</v>
      </c>
      <c r="AE60" s="88">
        <f t="shared" si="28"/>
        <v>0</v>
      </c>
      <c r="AF60" s="88">
        <f t="shared" si="28"/>
        <v>0</v>
      </c>
      <c r="AG60" s="88">
        <f>AG12-AG36</f>
        <v>0</v>
      </c>
      <c r="AH60" s="2"/>
      <c r="AI60" s="2"/>
      <c r="AJ60" s="2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s="9" customFormat="1" x14ac:dyDescent="0.2">
      <c r="A61" s="5"/>
      <c r="B61" s="93" t="s">
        <v>19</v>
      </c>
      <c r="C61" s="33" t="s">
        <v>34</v>
      </c>
      <c r="D61" s="99">
        <f t="shared" si="23"/>
        <v>2.7031080466207986</v>
      </c>
      <c r="E61" s="88">
        <f t="shared" si="23"/>
        <v>2.7031080466207986</v>
      </c>
      <c r="F61" s="88">
        <f t="shared" si="23"/>
        <v>0</v>
      </c>
      <c r="G61" s="88">
        <f t="shared" si="23"/>
        <v>0</v>
      </c>
      <c r="H61" s="90">
        <f t="shared" si="21"/>
        <v>0</v>
      </c>
      <c r="I61" s="99">
        <f>SUM(J61:M61)</f>
        <v>1.3515540233103995</v>
      </c>
      <c r="J61" s="88">
        <f t="shared" si="24"/>
        <v>1.3515540233103995</v>
      </c>
      <c r="K61" s="88">
        <f t="shared" si="24"/>
        <v>0</v>
      </c>
      <c r="L61" s="88">
        <f t="shared" si="24"/>
        <v>0</v>
      </c>
      <c r="M61" s="90">
        <f>M13-M37</f>
        <v>0</v>
      </c>
      <c r="N61" s="99">
        <f>SUM(O61:R61)</f>
        <v>1.3515540233103991</v>
      </c>
      <c r="O61" s="88">
        <f t="shared" si="25"/>
        <v>1.3515540233103991</v>
      </c>
      <c r="P61" s="88">
        <f t="shared" si="25"/>
        <v>0</v>
      </c>
      <c r="Q61" s="88">
        <f t="shared" si="25"/>
        <v>0</v>
      </c>
      <c r="R61" s="90">
        <f>R13-R37</f>
        <v>0</v>
      </c>
      <c r="S61" s="99">
        <f t="shared" si="26"/>
        <v>4.6323644662393804E-6</v>
      </c>
      <c r="T61" s="88">
        <f t="shared" si="26"/>
        <v>4.6323644662393804E-6</v>
      </c>
      <c r="U61" s="88">
        <f t="shared" si="26"/>
        <v>0</v>
      </c>
      <c r="V61" s="88">
        <f t="shared" si="26"/>
        <v>0</v>
      </c>
      <c r="W61" s="89">
        <f t="shared" si="22"/>
        <v>0</v>
      </c>
      <c r="X61" s="99">
        <f>SUM(Y61:AB61)</f>
        <v>3.4059330760172202E-6</v>
      </c>
      <c r="Y61" s="88">
        <f t="shared" si="27"/>
        <v>3.4059330760172202E-6</v>
      </c>
      <c r="Z61" s="88">
        <f t="shared" si="27"/>
        <v>0</v>
      </c>
      <c r="AA61" s="88">
        <f t="shared" si="27"/>
        <v>0</v>
      </c>
      <c r="AB61" s="90">
        <f>AB13-AB37</f>
        <v>0</v>
      </c>
      <c r="AC61" s="134">
        <f>SUM(AD61:AG61)</f>
        <v>1.2264313902221602E-6</v>
      </c>
      <c r="AD61" s="88">
        <f t="shared" si="28"/>
        <v>1.2264313902221602E-6</v>
      </c>
      <c r="AE61" s="88">
        <f t="shared" si="28"/>
        <v>0</v>
      </c>
      <c r="AF61" s="88">
        <f t="shared" si="28"/>
        <v>0</v>
      </c>
      <c r="AG61" s="88">
        <f>AG13-AG37</f>
        <v>0</v>
      </c>
      <c r="AH61" s="2"/>
      <c r="AI61" s="2"/>
      <c r="AJ61" s="2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48" s="9" customFormat="1" x14ac:dyDescent="0.2">
      <c r="A62" s="5"/>
      <c r="B62" s="93" t="s">
        <v>20</v>
      </c>
      <c r="C62" s="33" t="s">
        <v>34</v>
      </c>
      <c r="D62" s="99">
        <f t="shared" si="23"/>
        <v>50.154727573081303</v>
      </c>
      <c r="E62" s="88">
        <f t="shared" si="23"/>
        <v>24.871452063846078</v>
      </c>
      <c r="F62" s="88">
        <f t="shared" si="23"/>
        <v>16.52449993279162</v>
      </c>
      <c r="G62" s="88">
        <f t="shared" si="23"/>
        <v>8.3746380413897796</v>
      </c>
      <c r="H62" s="90">
        <f t="shared" si="21"/>
        <v>0.38413753505382753</v>
      </c>
      <c r="I62" s="99">
        <f>SUM(J62:M62)</f>
        <v>25.077363786540651</v>
      </c>
      <c r="J62" s="88">
        <f t="shared" si="24"/>
        <v>12.435726031923039</v>
      </c>
      <c r="K62" s="88">
        <f t="shared" si="24"/>
        <v>8.2622499663958102</v>
      </c>
      <c r="L62" s="88">
        <f t="shared" si="24"/>
        <v>4.1873190206948898</v>
      </c>
      <c r="M62" s="90">
        <f>M14-M38</f>
        <v>0.19206876752691376</v>
      </c>
      <c r="N62" s="99">
        <f>SUM(O62:R62)</f>
        <v>25.077363786540651</v>
      </c>
      <c r="O62" s="88">
        <f t="shared" si="25"/>
        <v>12.435726031923039</v>
      </c>
      <c r="P62" s="88">
        <f t="shared" si="25"/>
        <v>8.2622499663958102</v>
      </c>
      <c r="Q62" s="88">
        <f t="shared" si="25"/>
        <v>4.1873190206948898</v>
      </c>
      <c r="R62" s="90">
        <f>R14-R38</f>
        <v>0.19206876752691376</v>
      </c>
      <c r="S62" s="99">
        <f t="shared" si="26"/>
        <v>4.3909994978719169E-5</v>
      </c>
      <c r="T62" s="88">
        <f t="shared" si="26"/>
        <v>4.3909994978719169E-5</v>
      </c>
      <c r="U62" s="88">
        <f t="shared" si="26"/>
        <v>0</v>
      </c>
      <c r="V62" s="88">
        <f t="shared" si="26"/>
        <v>0</v>
      </c>
      <c r="W62" s="89">
        <f t="shared" si="22"/>
        <v>0</v>
      </c>
      <c r="X62" s="99">
        <f>SUM(Y62:AB62)</f>
        <v>3.2402966645861397E-5</v>
      </c>
      <c r="Y62" s="88">
        <f t="shared" si="27"/>
        <v>3.2402966645861397E-5</v>
      </c>
      <c r="Z62" s="88">
        <f t="shared" si="27"/>
        <v>0</v>
      </c>
      <c r="AA62" s="88">
        <f t="shared" si="27"/>
        <v>0</v>
      </c>
      <c r="AB62" s="90">
        <f>AB14-AB38</f>
        <v>0</v>
      </c>
      <c r="AC62" s="134">
        <f>SUM(AD62:AG62)</f>
        <v>1.1507028332857772E-5</v>
      </c>
      <c r="AD62" s="88">
        <f t="shared" si="28"/>
        <v>1.1507028332857772E-5</v>
      </c>
      <c r="AE62" s="88">
        <f t="shared" si="28"/>
        <v>0</v>
      </c>
      <c r="AF62" s="88">
        <f t="shared" si="28"/>
        <v>0</v>
      </c>
      <c r="AG62" s="88">
        <f>AG14-AG38</f>
        <v>0</v>
      </c>
      <c r="AH62" s="2"/>
      <c r="AI62" s="2"/>
      <c r="AJ62" s="2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48" s="9" customFormat="1" x14ac:dyDescent="0.2">
      <c r="A63" s="5"/>
      <c r="B63" s="32" t="s">
        <v>35</v>
      </c>
      <c r="C63" s="33" t="s">
        <v>34</v>
      </c>
      <c r="D63" s="99">
        <f t="shared" si="23"/>
        <v>8.7160934064711482E-2</v>
      </c>
      <c r="E63" s="88">
        <f t="shared" si="23"/>
        <v>0</v>
      </c>
      <c r="F63" s="88">
        <f t="shared" si="23"/>
        <v>0</v>
      </c>
      <c r="G63" s="88">
        <f t="shared" si="23"/>
        <v>8.7160934064711482E-2</v>
      </c>
      <c r="H63" s="90">
        <f t="shared" si="21"/>
        <v>0</v>
      </c>
      <c r="I63" s="99">
        <f>SUM(J63:M63)</f>
        <v>4.3580467032355741E-2</v>
      </c>
      <c r="J63" s="88">
        <f t="shared" si="24"/>
        <v>0</v>
      </c>
      <c r="K63" s="88">
        <f t="shared" si="24"/>
        <v>0</v>
      </c>
      <c r="L63" s="88">
        <f t="shared" si="24"/>
        <v>4.3580467032355741E-2</v>
      </c>
      <c r="M63" s="88">
        <f>M15-M39</f>
        <v>0</v>
      </c>
      <c r="N63" s="99">
        <f>SUM(O63:R63)</f>
        <v>4.3580467032355741E-2</v>
      </c>
      <c r="O63" s="88">
        <f t="shared" si="25"/>
        <v>0</v>
      </c>
      <c r="P63" s="88">
        <f t="shared" si="25"/>
        <v>0</v>
      </c>
      <c r="Q63" s="88">
        <f t="shared" si="25"/>
        <v>4.3580467032355741E-2</v>
      </c>
      <c r="R63" s="90">
        <f>R15-R39</f>
        <v>0</v>
      </c>
      <c r="S63" s="99">
        <f t="shared" si="26"/>
        <v>0</v>
      </c>
      <c r="T63" s="88">
        <f t="shared" si="26"/>
        <v>0</v>
      </c>
      <c r="U63" s="88">
        <f t="shared" si="26"/>
        <v>0</v>
      </c>
      <c r="V63" s="88">
        <f t="shared" si="26"/>
        <v>0</v>
      </c>
      <c r="W63" s="89">
        <f t="shared" si="22"/>
        <v>0</v>
      </c>
      <c r="X63" s="99">
        <f>SUM(Y63:AB63)</f>
        <v>0</v>
      </c>
      <c r="Y63" s="88">
        <f t="shared" si="27"/>
        <v>0</v>
      </c>
      <c r="Z63" s="88">
        <f t="shared" si="27"/>
        <v>0</v>
      </c>
      <c r="AA63" s="88">
        <f t="shared" si="27"/>
        <v>0</v>
      </c>
      <c r="AB63" s="90">
        <f>AB15-AB39</f>
        <v>0</v>
      </c>
      <c r="AC63" s="134">
        <f>SUM(AD63:AG63)</f>
        <v>0</v>
      </c>
      <c r="AD63" s="88">
        <f t="shared" si="28"/>
        <v>0</v>
      </c>
      <c r="AE63" s="88">
        <f t="shared" si="28"/>
        <v>0</v>
      </c>
      <c r="AF63" s="88">
        <f t="shared" si="28"/>
        <v>0</v>
      </c>
      <c r="AG63" s="88">
        <f>AG15-AG39</f>
        <v>0</v>
      </c>
      <c r="AH63" s="2"/>
      <c r="AI63" s="2"/>
      <c r="AJ63" s="2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s="9" customFormat="1" x14ac:dyDescent="0.2">
      <c r="A64" s="5"/>
      <c r="B64" s="173" t="s">
        <v>22</v>
      </c>
      <c r="C64" s="130" t="s">
        <v>34</v>
      </c>
      <c r="D64" s="101">
        <f t="shared" si="23"/>
        <v>3.1260786322810237</v>
      </c>
      <c r="E64" s="102">
        <f t="shared" si="23"/>
        <v>0.44384011953807478</v>
      </c>
      <c r="F64" s="102">
        <f t="shared" si="23"/>
        <v>0.52048869888307048</v>
      </c>
      <c r="G64" s="102">
        <f t="shared" si="23"/>
        <v>1.5721779915179415</v>
      </c>
      <c r="H64" s="104">
        <f t="shared" si="21"/>
        <v>0.58957182234193684</v>
      </c>
      <c r="I64" s="101">
        <f>SUM(J64:M64)</f>
        <v>1.5630393161405118</v>
      </c>
      <c r="J64" s="102">
        <f>J54*J65/100</f>
        <v>0.22192005976903739</v>
      </c>
      <c r="K64" s="102">
        <f>K54*K65/100</f>
        <v>0.26024434944153524</v>
      </c>
      <c r="L64" s="102">
        <f>L54*L65/100</f>
        <v>0.78608899575897073</v>
      </c>
      <c r="M64" s="104">
        <f>M54*M65/100</f>
        <v>0.29478591117096842</v>
      </c>
      <c r="N64" s="101">
        <f>SUM(O64:R64)</f>
        <v>1.5630393161405118</v>
      </c>
      <c r="O64" s="102">
        <f>O54*O65/100</f>
        <v>0.22192005976903739</v>
      </c>
      <c r="P64" s="102">
        <f>P54*P65/100</f>
        <v>0.26024434944153524</v>
      </c>
      <c r="Q64" s="102">
        <f>Q54*Q65/100</f>
        <v>0.78608899575897073</v>
      </c>
      <c r="R64" s="104">
        <f>R54*R65/100</f>
        <v>0.29478591117096842</v>
      </c>
      <c r="S64" s="101">
        <f t="shared" si="26"/>
        <v>0</v>
      </c>
      <c r="T64" s="102">
        <f t="shared" si="26"/>
        <v>0</v>
      </c>
      <c r="U64" s="102">
        <f t="shared" si="26"/>
        <v>0</v>
      </c>
      <c r="V64" s="102">
        <f t="shared" si="26"/>
        <v>0</v>
      </c>
      <c r="W64" s="103">
        <f t="shared" si="22"/>
        <v>0</v>
      </c>
      <c r="X64" s="99">
        <f>SUM(Y64:AB64)</f>
        <v>0</v>
      </c>
      <c r="Y64" s="102">
        <f>Y54*Y65/100</f>
        <v>0</v>
      </c>
      <c r="Z64" s="102">
        <f>Z54*Z65/100</f>
        <v>0</v>
      </c>
      <c r="AA64" s="102">
        <f>AA54*AA65/100</f>
        <v>0</v>
      </c>
      <c r="AB64" s="104">
        <f>AB54*AB65/100</f>
        <v>0</v>
      </c>
      <c r="AC64" s="135">
        <f>SUM(AD64:AG64)</f>
        <v>0</v>
      </c>
      <c r="AD64" s="102">
        <f>AD54*AD65/100</f>
        <v>0</v>
      </c>
      <c r="AE64" s="102">
        <f>AE54*AE65/100</f>
        <v>0</v>
      </c>
      <c r="AF64" s="102">
        <f>AF54*AF65/100</f>
        <v>0</v>
      </c>
      <c r="AG64" s="104">
        <f>AG54*AG65/100</f>
        <v>0</v>
      </c>
      <c r="AH64" s="2"/>
      <c r="AI64" s="2"/>
      <c r="AJ64" s="2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s="9" customFormat="1" x14ac:dyDescent="0.2">
      <c r="A65" s="5"/>
      <c r="B65" s="174"/>
      <c r="C65" s="22" t="s">
        <v>23</v>
      </c>
      <c r="D65" s="105">
        <f t="shared" ref="D65:I65" si="29">IFERROR(D64/D54*100,0)</f>
        <v>2.9785108726566207</v>
      </c>
      <c r="E65" s="106">
        <f t="shared" si="29"/>
        <v>1.6095999999999999</v>
      </c>
      <c r="F65" s="106">
        <f t="shared" si="29"/>
        <v>3.1497999999999999</v>
      </c>
      <c r="G65" s="106">
        <f t="shared" si="29"/>
        <v>2.2780999999999998</v>
      </c>
      <c r="H65" s="110">
        <f t="shared" si="29"/>
        <v>6.0588000000000006</v>
      </c>
      <c r="I65" s="105">
        <f t="shared" si="29"/>
        <v>2.9785108726566207</v>
      </c>
      <c r="J65" s="108">
        <f>IF(J22=0,0,J17)</f>
        <v>1.6095999999999999</v>
      </c>
      <c r="K65" s="108">
        <f>IF(K22=0,0,K17)</f>
        <v>3.1497999999999999</v>
      </c>
      <c r="L65" s="108">
        <f>IF(L22=0,0,L17)</f>
        <v>2.2780999999999998</v>
      </c>
      <c r="M65" s="109">
        <f>IF(M22=0,0,M17)</f>
        <v>6.0587999999999997</v>
      </c>
      <c r="N65" s="105">
        <f>IFERROR(N64/N54*100,0)</f>
        <v>2.9785108726566207</v>
      </c>
      <c r="O65" s="108">
        <f>IF(O22=0,0,O17)</f>
        <v>1.6095999999999999</v>
      </c>
      <c r="P65" s="108">
        <f>IF(P22=0,0,P17)</f>
        <v>3.1497999999999999</v>
      </c>
      <c r="Q65" s="108">
        <f>IF(Q22=0,0,Q17)</f>
        <v>2.2780999999999998</v>
      </c>
      <c r="R65" s="109">
        <f>IF(R22=0,0,R17)</f>
        <v>6.0587999999999997</v>
      </c>
      <c r="S65" s="105">
        <f t="shared" ref="S65:X65" si="30">IFERROR(S64/S54*100,0)</f>
        <v>0</v>
      </c>
      <c r="T65" s="106">
        <f t="shared" si="30"/>
        <v>0</v>
      </c>
      <c r="U65" s="106">
        <f t="shared" si="30"/>
        <v>0</v>
      </c>
      <c r="V65" s="106">
        <f t="shared" si="30"/>
        <v>0</v>
      </c>
      <c r="W65" s="107">
        <f t="shared" si="30"/>
        <v>0</v>
      </c>
      <c r="X65" s="105">
        <f t="shared" si="30"/>
        <v>0</v>
      </c>
      <c r="Y65" s="102">
        <f>IF(Y22=0,0,Y17)</f>
        <v>0</v>
      </c>
      <c r="Z65" s="102">
        <f>IF(Z22=0,0,Z17)</f>
        <v>0</v>
      </c>
      <c r="AA65" s="102">
        <f>IF(AA22=0,0,AA17)</f>
        <v>0</v>
      </c>
      <c r="AB65" s="104">
        <f>IF(AB22=0,0,AB17)</f>
        <v>0</v>
      </c>
      <c r="AC65" s="136">
        <f>IFERROR(AC64/AC54*100,0)</f>
        <v>0</v>
      </c>
      <c r="AD65" s="108">
        <f>IF(AD22=0,0,AD17)</f>
        <v>0</v>
      </c>
      <c r="AE65" s="108">
        <f>IF(AE22=0,0,AE17)</f>
        <v>0</v>
      </c>
      <c r="AF65" s="108">
        <f>IF(AF22=0,0,AF17)</f>
        <v>0</v>
      </c>
      <c r="AG65" s="109">
        <f>IF(AG22=0,0,AG17)</f>
        <v>0</v>
      </c>
      <c r="AH65" s="2"/>
      <c r="AI65" s="2"/>
      <c r="AJ65" s="2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s="9" customFormat="1" ht="13.5" thickBot="1" x14ac:dyDescent="0.25">
      <c r="A66" s="5"/>
      <c r="B66" s="112" t="s">
        <v>36</v>
      </c>
      <c r="C66" s="45" t="s">
        <v>34</v>
      </c>
      <c r="D66" s="101">
        <f>I66+N66</f>
        <v>101.82833536630824</v>
      </c>
      <c r="E66" s="102">
        <f>J66+O66</f>
        <v>22.791600888888883</v>
      </c>
      <c r="F66" s="102">
        <f>K66+P66</f>
        <v>11.7971448</v>
      </c>
      <c r="G66" s="102">
        <f>L66+Q66</f>
        <v>58.093933806451602</v>
      </c>
      <c r="H66" s="104">
        <f>M66+R66</f>
        <v>9.1456558709677473</v>
      </c>
      <c r="I66" s="101">
        <f>SUM(J66:M66)</f>
        <v>50.914167683154119</v>
      </c>
      <c r="J66" s="102">
        <f>J22</f>
        <v>11.395800444444442</v>
      </c>
      <c r="K66" s="102">
        <f>K22</f>
        <v>5.8985723999999999</v>
      </c>
      <c r="L66" s="102">
        <f>L22</f>
        <v>29.046966903225801</v>
      </c>
      <c r="M66" s="104">
        <f>M22</f>
        <v>4.5728279354838737</v>
      </c>
      <c r="N66" s="101">
        <f>SUM(O66:R66)</f>
        <v>50.914167683154119</v>
      </c>
      <c r="O66" s="102">
        <f>O22</f>
        <v>11.395800444444442</v>
      </c>
      <c r="P66" s="102">
        <f>P22</f>
        <v>5.8985723999999999</v>
      </c>
      <c r="Q66" s="102">
        <f>Q22</f>
        <v>29.046966903225801</v>
      </c>
      <c r="R66" s="104">
        <f>R22</f>
        <v>4.5728279354838737</v>
      </c>
      <c r="S66" s="101">
        <f>X66+AC66</f>
        <v>0</v>
      </c>
      <c r="T66" s="102">
        <f>Y66+AD66</f>
        <v>0</v>
      </c>
      <c r="U66" s="102">
        <f>Z66+AE66</f>
        <v>0</v>
      </c>
      <c r="V66" s="102">
        <f>AA66+AF66</f>
        <v>0</v>
      </c>
      <c r="W66" s="103">
        <f>AB66+AG66</f>
        <v>0</v>
      </c>
      <c r="X66" s="137">
        <f>SUM(Y66:AB66)</f>
        <v>0</v>
      </c>
      <c r="Y66" s="138">
        <f>Y22</f>
        <v>0</v>
      </c>
      <c r="Z66" s="138">
        <f>Z22</f>
        <v>0</v>
      </c>
      <c r="AA66" s="138">
        <f>AA22</f>
        <v>0</v>
      </c>
      <c r="AB66" s="139">
        <f>AB22</f>
        <v>0</v>
      </c>
      <c r="AC66" s="135">
        <f>SUM(AD66:AG66)</f>
        <v>0</v>
      </c>
      <c r="AD66" s="102">
        <f>AD22</f>
        <v>0</v>
      </c>
      <c r="AE66" s="102">
        <f>AE22</f>
        <v>0</v>
      </c>
      <c r="AF66" s="102">
        <f>AF22</f>
        <v>0</v>
      </c>
      <c r="AG66" s="104">
        <f>AG22</f>
        <v>0</v>
      </c>
      <c r="AH66" s="2"/>
      <c r="AI66" s="2"/>
      <c r="AJ66" s="2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s="9" customFormat="1" x14ac:dyDescent="0.2">
      <c r="A67" s="5"/>
      <c r="B67" s="5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2"/>
      <c r="AI67" s="2"/>
      <c r="AJ67" s="2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s="9" customFormat="1" x14ac:dyDescent="0.2">
      <c r="A68" s="5"/>
      <c r="B68" s="2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2"/>
      <c r="AI68" s="2"/>
      <c r="AJ68" s="2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s="9" customFormat="1" ht="13.5" thickBot="1" x14ac:dyDescent="0.25">
      <c r="A69" s="5"/>
      <c r="B69" s="140" t="s">
        <v>37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8"/>
      <c r="AD69" s="8"/>
      <c r="AE69" s="8"/>
      <c r="AF69" s="8"/>
      <c r="AG69" s="8"/>
      <c r="AH69" s="2"/>
      <c r="AI69" s="2"/>
      <c r="AJ69" s="2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s="9" customFormat="1" x14ac:dyDescent="0.2">
      <c r="A70" s="5"/>
      <c r="B70" s="141" t="s">
        <v>38</v>
      </c>
      <c r="C70" s="142" t="s">
        <v>31</v>
      </c>
      <c r="D70" s="143" t="s">
        <v>8</v>
      </c>
      <c r="E70" s="144" t="s">
        <v>9</v>
      </c>
      <c r="F70" s="144" t="s">
        <v>10</v>
      </c>
      <c r="G70" s="144" t="s">
        <v>11</v>
      </c>
      <c r="H70" s="145" t="s">
        <v>12</v>
      </c>
      <c r="I70" s="144" t="s">
        <v>8</v>
      </c>
      <c r="J70" s="144" t="s">
        <v>9</v>
      </c>
      <c r="K70" s="144" t="s">
        <v>10</v>
      </c>
      <c r="L70" s="144" t="s">
        <v>11</v>
      </c>
      <c r="M70" s="145" t="s">
        <v>12</v>
      </c>
      <c r="N70" s="144" t="s">
        <v>8</v>
      </c>
      <c r="O70" s="144" t="s">
        <v>9</v>
      </c>
      <c r="P70" s="144" t="s">
        <v>10</v>
      </c>
      <c r="Q70" s="144" t="s">
        <v>11</v>
      </c>
      <c r="R70" s="145" t="s">
        <v>12</v>
      </c>
      <c r="S70" s="144" t="s">
        <v>8</v>
      </c>
      <c r="T70" s="144" t="s">
        <v>9</v>
      </c>
      <c r="U70" s="144" t="s">
        <v>10</v>
      </c>
      <c r="V70" s="144" t="s">
        <v>11</v>
      </c>
      <c r="W70" s="145" t="s">
        <v>12</v>
      </c>
      <c r="X70" s="144" t="s">
        <v>8</v>
      </c>
      <c r="Y70" s="144" t="s">
        <v>9</v>
      </c>
      <c r="Z70" s="144" t="s">
        <v>10</v>
      </c>
      <c r="AA70" s="144" t="s">
        <v>11</v>
      </c>
      <c r="AB70" s="145" t="s">
        <v>12</v>
      </c>
      <c r="AC70" s="144" t="s">
        <v>8</v>
      </c>
      <c r="AD70" s="144" t="s">
        <v>9</v>
      </c>
      <c r="AE70" s="144" t="s">
        <v>10</v>
      </c>
      <c r="AF70" s="144" t="s">
        <v>11</v>
      </c>
      <c r="AG70" s="145" t="s">
        <v>12</v>
      </c>
      <c r="AH70" s="2"/>
      <c r="AI70" s="2"/>
      <c r="AJ70" s="2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s="9" customFormat="1" x14ac:dyDescent="0.2">
      <c r="A71" s="5"/>
      <c r="B71" s="4" t="s">
        <v>39</v>
      </c>
      <c r="C71" s="22" t="s">
        <v>14</v>
      </c>
      <c r="D71" s="146">
        <f>SUM(E71:H71)</f>
        <v>8.2195348837209303E-3</v>
      </c>
      <c r="E71" s="147"/>
      <c r="F71" s="147"/>
      <c r="G71" s="147">
        <v>8.2195348837209303E-3</v>
      </c>
      <c r="H71" s="148"/>
      <c r="I71" s="149">
        <f>SUM(J71:M71)</f>
        <v>8.2195348837209303E-3</v>
      </c>
      <c r="J71" s="147"/>
      <c r="K71" s="147"/>
      <c r="L71" s="147">
        <v>8.2195348837209303E-3</v>
      </c>
      <c r="M71" s="148"/>
      <c r="N71" s="149">
        <f>SUM(O71:R71)</f>
        <v>8.2195348837209303E-3</v>
      </c>
      <c r="O71" s="147"/>
      <c r="P71" s="147"/>
      <c r="Q71" s="147">
        <v>8.2195348837209303E-3</v>
      </c>
      <c r="R71" s="148"/>
      <c r="S71" s="149">
        <f>SUM(T71:W71)</f>
        <v>0</v>
      </c>
      <c r="T71" s="147"/>
      <c r="U71" s="147"/>
      <c r="V71" s="147"/>
      <c r="W71" s="148"/>
      <c r="X71" s="149">
        <f>SUM(Y71:AB71)</f>
        <v>0</v>
      </c>
      <c r="Y71" s="147"/>
      <c r="Z71" s="147"/>
      <c r="AA71" s="147"/>
      <c r="AB71" s="148"/>
      <c r="AC71" s="149">
        <f>SUM(AD71:AG71)</f>
        <v>0</v>
      </c>
      <c r="AD71" s="147"/>
      <c r="AE71" s="147"/>
      <c r="AF71" s="147"/>
      <c r="AG71" s="148"/>
      <c r="AH71" s="2"/>
      <c r="AI71" s="2"/>
      <c r="AJ71" s="2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s="9" customFormat="1" x14ac:dyDescent="0.2">
      <c r="A72" s="5"/>
      <c r="B72" s="4" t="s">
        <v>40</v>
      </c>
      <c r="C72" s="22" t="s">
        <v>14</v>
      </c>
      <c r="D72" s="146">
        <f>SUM(E72:H72)</f>
        <v>4.2576511627906981E-2</v>
      </c>
      <c r="E72" s="147"/>
      <c r="F72" s="147"/>
      <c r="G72" s="147">
        <v>4.2576511627906981E-2</v>
      </c>
      <c r="H72" s="148"/>
      <c r="I72" s="149">
        <f>SUM(J72:M72)</f>
        <v>4.2576511627906981E-2</v>
      </c>
      <c r="J72" s="147"/>
      <c r="K72" s="147"/>
      <c r="L72" s="147">
        <v>4.2576511627906981E-2</v>
      </c>
      <c r="M72" s="148"/>
      <c r="N72" s="149">
        <f>SUM(O72:R72)</f>
        <v>4.2576511627906981E-2</v>
      </c>
      <c r="O72" s="147"/>
      <c r="P72" s="147"/>
      <c r="Q72" s="147">
        <v>4.2576511627906981E-2</v>
      </c>
      <c r="R72" s="148"/>
      <c r="S72" s="149">
        <f>SUM(T72:W72)</f>
        <v>4.651162790697675E-2</v>
      </c>
      <c r="T72" s="147"/>
      <c r="U72" s="147"/>
      <c r="V72" s="147">
        <v>4.651162790697675E-2</v>
      </c>
      <c r="W72" s="148"/>
      <c r="X72" s="149">
        <f>SUM(Y72:AB72)</f>
        <v>4.651162790697675E-2</v>
      </c>
      <c r="Y72" s="147"/>
      <c r="Z72" s="147"/>
      <c r="AA72" s="147">
        <v>4.651162790697675E-2</v>
      </c>
      <c r="AB72" s="148"/>
      <c r="AC72" s="149">
        <f>SUM(AD72:AG72)</f>
        <v>0</v>
      </c>
      <c r="AD72" s="147"/>
      <c r="AE72" s="147"/>
      <c r="AF72" s="147"/>
      <c r="AG72" s="148"/>
      <c r="AH72" s="2"/>
      <c r="AI72" s="2"/>
      <c r="AJ72" s="2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s="9" customFormat="1" x14ac:dyDescent="0.2">
      <c r="A73" s="5"/>
      <c r="B73" s="4"/>
      <c r="C73" s="22" t="s">
        <v>14</v>
      </c>
      <c r="D73" s="146">
        <f>SUM(E73:H73)</f>
        <v>0</v>
      </c>
      <c r="E73" s="147"/>
      <c r="F73" s="147"/>
      <c r="G73" s="147"/>
      <c r="H73" s="148"/>
      <c r="I73" s="149">
        <f>SUM(J73:M73)</f>
        <v>0</v>
      </c>
      <c r="J73" s="147"/>
      <c r="K73" s="147"/>
      <c r="L73" s="147"/>
      <c r="M73" s="148"/>
      <c r="N73" s="149">
        <f>SUM(O73:R73)</f>
        <v>0</v>
      </c>
      <c r="O73" s="147"/>
      <c r="P73" s="147"/>
      <c r="Q73" s="147"/>
      <c r="R73" s="148"/>
      <c r="S73" s="149">
        <f>SUM(T73:W73)</f>
        <v>0</v>
      </c>
      <c r="T73" s="147"/>
      <c r="U73" s="147"/>
      <c r="V73" s="147"/>
      <c r="W73" s="148"/>
      <c r="X73" s="149">
        <f>SUM(Y73:AB73)</f>
        <v>0</v>
      </c>
      <c r="Y73" s="147"/>
      <c r="Z73" s="147"/>
      <c r="AA73" s="147"/>
      <c r="AB73" s="148"/>
      <c r="AC73" s="149">
        <f>SUM(AD73:AG73)</f>
        <v>0</v>
      </c>
      <c r="AD73" s="147"/>
      <c r="AE73" s="147"/>
      <c r="AF73" s="147"/>
      <c r="AG73" s="148"/>
      <c r="AH73" s="2"/>
      <c r="AI73" s="2"/>
      <c r="AJ73" s="2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s="152" customFormat="1" ht="21" customHeight="1" thickBot="1" x14ac:dyDescent="0.25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9" customFormat="1" ht="13.5" thickBot="1" x14ac:dyDescent="0.25">
      <c r="A75" s="5"/>
      <c r="B75" s="153" t="s">
        <v>41</v>
      </c>
      <c r="C75" s="22" t="s">
        <v>14</v>
      </c>
      <c r="D75" s="154">
        <f>SUM(D71:D74)</f>
        <v>5.0796046511627911E-2</v>
      </c>
      <c r="E75" s="155">
        <f t="shared" ref="E75:AG75" si="31">SUM(E71:E74)</f>
        <v>0</v>
      </c>
      <c r="F75" s="155">
        <f>SUM(F71:F74)</f>
        <v>0</v>
      </c>
      <c r="G75" s="155">
        <f t="shared" si="31"/>
        <v>5.0796046511627911E-2</v>
      </c>
      <c r="H75" s="156">
        <f t="shared" si="31"/>
        <v>0</v>
      </c>
      <c r="I75" s="155">
        <f t="shared" si="31"/>
        <v>5.0796046511627911E-2</v>
      </c>
      <c r="J75" s="155">
        <f t="shared" si="31"/>
        <v>0</v>
      </c>
      <c r="K75" s="155">
        <f t="shared" si="31"/>
        <v>0</v>
      </c>
      <c r="L75" s="155">
        <f t="shared" si="31"/>
        <v>5.0796046511627911E-2</v>
      </c>
      <c r="M75" s="156">
        <f t="shared" si="31"/>
        <v>0</v>
      </c>
      <c r="N75" s="155">
        <f t="shared" si="31"/>
        <v>5.0796046511627911E-2</v>
      </c>
      <c r="O75" s="155">
        <f t="shared" si="31"/>
        <v>0</v>
      </c>
      <c r="P75" s="155">
        <f t="shared" si="31"/>
        <v>0</v>
      </c>
      <c r="Q75" s="155">
        <f t="shared" si="31"/>
        <v>5.0796046511627911E-2</v>
      </c>
      <c r="R75" s="156">
        <f t="shared" si="31"/>
        <v>0</v>
      </c>
      <c r="S75" s="155">
        <f t="shared" si="31"/>
        <v>4.651162790697675E-2</v>
      </c>
      <c r="T75" s="155">
        <f t="shared" si="31"/>
        <v>0</v>
      </c>
      <c r="U75" s="155">
        <f t="shared" si="31"/>
        <v>0</v>
      </c>
      <c r="V75" s="155">
        <f t="shared" si="31"/>
        <v>4.651162790697675E-2</v>
      </c>
      <c r="W75" s="156">
        <f t="shared" si="31"/>
        <v>0</v>
      </c>
      <c r="X75" s="155">
        <f t="shared" si="31"/>
        <v>4.651162790697675E-2</v>
      </c>
      <c r="Y75" s="155">
        <f t="shared" si="31"/>
        <v>0</v>
      </c>
      <c r="Z75" s="155">
        <f t="shared" si="31"/>
        <v>0</v>
      </c>
      <c r="AA75" s="155">
        <f t="shared" si="31"/>
        <v>4.651162790697675E-2</v>
      </c>
      <c r="AB75" s="156">
        <f t="shared" si="31"/>
        <v>0</v>
      </c>
      <c r="AC75" s="155">
        <f t="shared" si="31"/>
        <v>0</v>
      </c>
      <c r="AD75" s="155">
        <f t="shared" si="31"/>
        <v>0</v>
      </c>
      <c r="AE75" s="155">
        <f t="shared" si="31"/>
        <v>0</v>
      </c>
      <c r="AF75" s="155">
        <f t="shared" si="31"/>
        <v>0</v>
      </c>
      <c r="AG75" s="156">
        <f t="shared" si="31"/>
        <v>0</v>
      </c>
      <c r="AH75" s="2"/>
      <c r="AI75" s="2"/>
      <c r="AJ75" s="2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s="9" customFormat="1" x14ac:dyDescent="0.2">
      <c r="A76" s="5"/>
      <c r="B76" s="157"/>
      <c r="C76" s="158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60"/>
      <c r="AD76" s="160"/>
      <c r="AE76" s="160"/>
      <c r="AF76" s="160"/>
      <c r="AG76" s="1"/>
      <c r="AH76" s="1"/>
      <c r="AI76" s="1"/>
      <c r="AJ76" s="1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s="9" customFormat="1" x14ac:dyDescent="0.2">
      <c r="A77" s="5"/>
      <c r="B77" s="2"/>
      <c r="C77" s="2"/>
      <c r="D77" s="2"/>
      <c r="E77" s="2"/>
      <c r="F77" s="2"/>
      <c r="G77" s="2"/>
      <c r="H77" s="161"/>
      <c r="I77" s="161"/>
      <c r="J77" s="161"/>
      <c r="K77" s="161"/>
      <c r="L77" s="16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8"/>
      <c r="AC77" s="8"/>
      <c r="AD77" s="8"/>
      <c r="AE77" s="8"/>
      <c r="AF77" s="8"/>
      <c r="AG77" s="2"/>
      <c r="AH77" s="2"/>
      <c r="AI77" s="2"/>
      <c r="AJ77" s="2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s="9" customFormat="1" ht="13.5" thickBot="1" x14ac:dyDescent="0.25">
      <c r="A78" s="5"/>
      <c r="B78" s="140" t="s">
        <v>42</v>
      </c>
      <c r="C78" s="2"/>
      <c r="D78" s="2"/>
      <c r="E78" s="2"/>
      <c r="F78" s="2"/>
      <c r="G78" s="2"/>
      <c r="H78" s="161"/>
      <c r="I78" s="161"/>
      <c r="J78" s="161"/>
      <c r="K78" s="161"/>
      <c r="L78" s="16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8"/>
      <c r="AC78" s="8"/>
      <c r="AD78" s="8"/>
      <c r="AE78" s="8"/>
      <c r="AF78" s="8"/>
      <c r="AG78" s="2"/>
      <c r="AH78" s="2"/>
      <c r="AI78" s="2"/>
      <c r="AJ78" s="2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s="9" customFormat="1" x14ac:dyDescent="0.2">
      <c r="A79" s="5"/>
      <c r="B79" s="162" t="s">
        <v>38</v>
      </c>
      <c r="C79" s="142" t="s">
        <v>31</v>
      </c>
      <c r="D79" s="144" t="s">
        <v>8</v>
      </c>
      <c r="E79" s="144" t="s">
        <v>9</v>
      </c>
      <c r="F79" s="144" t="s">
        <v>10</v>
      </c>
      <c r="G79" s="144" t="s">
        <v>11</v>
      </c>
      <c r="H79" s="145" t="s">
        <v>12</v>
      </c>
      <c r="I79" s="144" t="s">
        <v>8</v>
      </c>
      <c r="J79" s="144" t="s">
        <v>9</v>
      </c>
      <c r="K79" s="144" t="s">
        <v>10</v>
      </c>
      <c r="L79" s="144" t="s">
        <v>11</v>
      </c>
      <c r="M79" s="145" t="s">
        <v>12</v>
      </c>
      <c r="N79" s="144" t="s">
        <v>8</v>
      </c>
      <c r="O79" s="144" t="s">
        <v>9</v>
      </c>
      <c r="P79" s="144" t="s">
        <v>10</v>
      </c>
      <c r="Q79" s="144" t="s">
        <v>11</v>
      </c>
      <c r="R79" s="145" t="s">
        <v>12</v>
      </c>
      <c r="S79" s="144" t="s">
        <v>8</v>
      </c>
      <c r="T79" s="144" t="s">
        <v>9</v>
      </c>
      <c r="U79" s="144" t="s">
        <v>10</v>
      </c>
      <c r="V79" s="144" t="s">
        <v>11</v>
      </c>
      <c r="W79" s="145" t="s">
        <v>12</v>
      </c>
      <c r="X79" s="144" t="s">
        <v>8</v>
      </c>
      <c r="Y79" s="144" t="s">
        <v>9</v>
      </c>
      <c r="Z79" s="144" t="s">
        <v>10</v>
      </c>
      <c r="AA79" s="144" t="s">
        <v>11</v>
      </c>
      <c r="AB79" s="145" t="s">
        <v>12</v>
      </c>
      <c r="AC79" s="144" t="s">
        <v>8</v>
      </c>
      <c r="AD79" s="144" t="s">
        <v>9</v>
      </c>
      <c r="AE79" s="144" t="s">
        <v>10</v>
      </c>
      <c r="AF79" s="144" t="s">
        <v>11</v>
      </c>
      <c r="AG79" s="145" t="s">
        <v>12</v>
      </c>
      <c r="AH79" s="2"/>
      <c r="AI79" s="2"/>
      <c r="AJ79" s="2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s="9" customFormat="1" x14ac:dyDescent="0.2">
      <c r="A80" s="5"/>
      <c r="B80" s="163" t="s">
        <v>43</v>
      </c>
      <c r="C80" s="22" t="s">
        <v>14</v>
      </c>
      <c r="D80" s="149">
        <f>SUM(E80:H80)</f>
        <v>47.080601339897214</v>
      </c>
      <c r="E80" s="147">
        <v>29.06188151865048</v>
      </c>
      <c r="F80" s="147">
        <v>15.582577386296938</v>
      </c>
      <c r="G80" s="147">
        <v>2.2395061558799996</v>
      </c>
      <c r="H80" s="148">
        <v>0.19663627906979286</v>
      </c>
      <c r="I80" s="149">
        <f>SUM(J80:M80)</f>
        <v>46.883965060827421</v>
      </c>
      <c r="J80" s="147">
        <v>29.06188151865048</v>
      </c>
      <c r="K80" s="147">
        <v>15.582577386296938</v>
      </c>
      <c r="L80" s="147">
        <v>2.2395061558799996</v>
      </c>
      <c r="M80" s="148"/>
      <c r="N80" s="149">
        <f>SUM(O80:R80)</f>
        <v>46.883965060827421</v>
      </c>
      <c r="O80" s="147">
        <v>29.06188151865048</v>
      </c>
      <c r="P80" s="147">
        <v>15.582577386296938</v>
      </c>
      <c r="Q80" s="147">
        <v>2.2395061558799996</v>
      </c>
      <c r="R80" s="148"/>
      <c r="S80" s="149">
        <f>SUM(T80:W80)</f>
        <v>46.883965060827421</v>
      </c>
      <c r="T80" s="147">
        <v>29.06188151865048</v>
      </c>
      <c r="U80" s="147">
        <v>15.582577386296938</v>
      </c>
      <c r="V80" s="147">
        <v>2.2395061558799996</v>
      </c>
      <c r="W80" s="148"/>
      <c r="X80" s="149">
        <f>SUM(Y80:AB80)</f>
        <v>46.883965060827421</v>
      </c>
      <c r="Y80" s="147">
        <v>29.06188151865048</v>
      </c>
      <c r="Z80" s="147">
        <v>15.582577386296938</v>
      </c>
      <c r="AA80" s="147">
        <v>2.2395061558799996</v>
      </c>
      <c r="AB80" s="148"/>
      <c r="AC80" s="149">
        <f>SUM(AD80:AG80)</f>
        <v>46.883965060827421</v>
      </c>
      <c r="AD80" s="147">
        <v>29.06188151865048</v>
      </c>
      <c r="AE80" s="147">
        <v>15.582577386296938</v>
      </c>
      <c r="AF80" s="147">
        <v>2.2395061558799996</v>
      </c>
      <c r="AG80" s="148"/>
      <c r="AH80" s="2"/>
      <c r="AI80" s="2"/>
      <c r="AJ80" s="2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s="9" customFormat="1" x14ac:dyDescent="0.2">
      <c r="A81" s="5"/>
      <c r="B81" s="164" t="s">
        <v>44</v>
      </c>
      <c r="C81" s="22" t="s">
        <v>14</v>
      </c>
      <c r="D81" s="149">
        <f>SUM(E81:H81)</f>
        <v>10.225062860727274</v>
      </c>
      <c r="E81" s="147">
        <v>7.044865348000001</v>
      </c>
      <c r="F81" s="147"/>
      <c r="G81" s="147">
        <v>3.1801975127272728</v>
      </c>
      <c r="H81" s="148"/>
      <c r="I81" s="149">
        <f>SUM(J81:M81)</f>
        <v>10.225062860727274</v>
      </c>
      <c r="J81" s="147">
        <v>7.044865348000001</v>
      </c>
      <c r="K81" s="147"/>
      <c r="L81" s="147">
        <v>3.1801975127272728</v>
      </c>
      <c r="M81" s="148"/>
      <c r="N81" s="149">
        <f>SUM(O81:R81)</f>
        <v>10.225062860727274</v>
      </c>
      <c r="O81" s="147">
        <v>7.044865348000001</v>
      </c>
      <c r="P81" s="147"/>
      <c r="Q81" s="147">
        <v>3.1801975127272728</v>
      </c>
      <c r="R81" s="148"/>
      <c r="S81" s="149">
        <f>SUM(T81:W81)</f>
        <v>8.5777000000000001</v>
      </c>
      <c r="T81" s="147">
        <f>5.2957-0.0213</f>
        <v>5.2744</v>
      </c>
      <c r="U81" s="147"/>
      <c r="V81" s="147">
        <v>3.3033000000000001</v>
      </c>
      <c r="W81" s="148"/>
      <c r="X81" s="149">
        <f>SUM(Y81:AB81)</f>
        <v>8.5777000000000001</v>
      </c>
      <c r="Y81" s="147">
        <v>5.2744</v>
      </c>
      <c r="Z81" s="147"/>
      <c r="AA81" s="147">
        <v>3.3033000000000001</v>
      </c>
      <c r="AB81" s="148"/>
      <c r="AC81" s="149">
        <f>SUM(AD81:AG81)</f>
        <v>8.5777000000000001</v>
      </c>
      <c r="AD81" s="147">
        <v>5.2744</v>
      </c>
      <c r="AE81" s="147"/>
      <c r="AF81" s="147">
        <v>3.3033000000000001</v>
      </c>
      <c r="AG81" s="148"/>
      <c r="AH81" s="2"/>
      <c r="AI81" s="2"/>
      <c r="AJ81" s="2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s="9" customFormat="1" x14ac:dyDescent="0.2">
      <c r="A82" s="5"/>
      <c r="B82" s="164" t="s">
        <v>45</v>
      </c>
      <c r="C82" s="22" t="s">
        <v>14</v>
      </c>
      <c r="D82" s="149">
        <f>SUM(E82:H82)</f>
        <v>-6.0678418604651167E-2</v>
      </c>
      <c r="E82" s="147"/>
      <c r="F82" s="147"/>
      <c r="G82" s="147">
        <v>-6.0678418604651167E-2</v>
      </c>
      <c r="H82" s="148"/>
      <c r="I82" s="149">
        <f>SUM(J82:M82)</f>
        <v>-6.0678418604651167E-2</v>
      </c>
      <c r="J82" s="147"/>
      <c r="K82" s="147"/>
      <c r="L82" s="147">
        <v>-6.0678418604651167E-2</v>
      </c>
      <c r="M82" s="148"/>
      <c r="N82" s="149">
        <f>SUM(O82:R82)</f>
        <v>-6.0678418604651167E-2</v>
      </c>
      <c r="O82" s="147"/>
      <c r="P82" s="147"/>
      <c r="Q82" s="147">
        <v>-6.0678418604651167E-2</v>
      </c>
      <c r="R82" s="148"/>
      <c r="S82" s="149">
        <f>SUM(T82:W82)</f>
        <v>7.4999999999999997E-2</v>
      </c>
      <c r="T82" s="147"/>
      <c r="U82" s="147"/>
      <c r="V82" s="147">
        <v>7.4999999999999997E-2</v>
      </c>
      <c r="W82" s="148"/>
      <c r="X82" s="149">
        <f>SUM(Y82:AB82)</f>
        <v>7.4999999999999997E-2</v>
      </c>
      <c r="Y82" s="147"/>
      <c r="Z82" s="147"/>
      <c r="AA82" s="147">
        <v>7.4999999999999997E-2</v>
      </c>
      <c r="AB82" s="148"/>
      <c r="AC82" s="149">
        <f>SUM(AD82:AG82)</f>
        <v>7.4999999999999997E-2</v>
      </c>
      <c r="AD82" s="147"/>
      <c r="AE82" s="147"/>
      <c r="AF82" s="147">
        <v>7.4999999999999997E-2</v>
      </c>
      <c r="AG82" s="148"/>
      <c r="AH82" s="2"/>
      <c r="AI82" s="2"/>
      <c r="AJ82" s="2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s="152" customFormat="1" ht="21" customHeight="1" thickBot="1" x14ac:dyDescent="0.25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9" customFormat="1" ht="13.5" thickBot="1" x14ac:dyDescent="0.25">
      <c r="A84" s="5"/>
      <c r="B84" s="153" t="s">
        <v>41</v>
      </c>
      <c r="C84" s="22" t="s">
        <v>14</v>
      </c>
      <c r="D84" s="165">
        <f>SUM(D80:D83)</f>
        <v>57.244985782019839</v>
      </c>
      <c r="E84" s="165">
        <f t="shared" ref="E84:AG84" si="32">SUM(E80:E83)</f>
        <v>36.106746866650482</v>
      </c>
      <c r="F84" s="165">
        <f t="shared" si="32"/>
        <v>15.582577386296938</v>
      </c>
      <c r="G84" s="165">
        <f t="shared" si="32"/>
        <v>5.3590252500026221</v>
      </c>
      <c r="H84" s="166">
        <f t="shared" si="32"/>
        <v>0.19663627906979286</v>
      </c>
      <c r="I84" s="165">
        <f t="shared" si="32"/>
        <v>57.048349502950046</v>
      </c>
      <c r="J84" s="165">
        <f t="shared" si="32"/>
        <v>36.106746866650482</v>
      </c>
      <c r="K84" s="165">
        <f t="shared" si="32"/>
        <v>15.582577386296938</v>
      </c>
      <c r="L84" s="165">
        <f t="shared" si="32"/>
        <v>5.3590252500026221</v>
      </c>
      <c r="M84" s="166">
        <f t="shared" si="32"/>
        <v>0</v>
      </c>
      <c r="N84" s="165">
        <f t="shared" si="32"/>
        <v>57.048349502950046</v>
      </c>
      <c r="O84" s="165">
        <f t="shared" si="32"/>
        <v>36.106746866650482</v>
      </c>
      <c r="P84" s="165">
        <f t="shared" si="32"/>
        <v>15.582577386296938</v>
      </c>
      <c r="Q84" s="165">
        <f t="shared" si="32"/>
        <v>5.3590252500026221</v>
      </c>
      <c r="R84" s="166">
        <f t="shared" si="32"/>
        <v>0</v>
      </c>
      <c r="S84" s="165">
        <f t="shared" si="32"/>
        <v>55.536665060827424</v>
      </c>
      <c r="T84" s="165">
        <f t="shared" si="32"/>
        <v>34.33628151865048</v>
      </c>
      <c r="U84" s="165">
        <f t="shared" si="32"/>
        <v>15.582577386296938</v>
      </c>
      <c r="V84" s="165">
        <f t="shared" si="32"/>
        <v>5.6178061558799994</v>
      </c>
      <c r="W84" s="166">
        <f t="shared" si="32"/>
        <v>0</v>
      </c>
      <c r="X84" s="165">
        <f t="shared" si="32"/>
        <v>55.536665060827424</v>
      </c>
      <c r="Y84" s="165">
        <f t="shared" si="32"/>
        <v>34.33628151865048</v>
      </c>
      <c r="Z84" s="165">
        <f t="shared" si="32"/>
        <v>15.582577386296938</v>
      </c>
      <c r="AA84" s="165">
        <f t="shared" si="32"/>
        <v>5.6178061558799994</v>
      </c>
      <c r="AB84" s="166">
        <f t="shared" si="32"/>
        <v>0</v>
      </c>
      <c r="AC84" s="165">
        <f t="shared" si="32"/>
        <v>55.536665060827424</v>
      </c>
      <c r="AD84" s="165">
        <f t="shared" si="32"/>
        <v>34.33628151865048</v>
      </c>
      <c r="AE84" s="165">
        <f t="shared" si="32"/>
        <v>15.582577386296938</v>
      </c>
      <c r="AF84" s="165">
        <f t="shared" si="32"/>
        <v>5.6178061558799994</v>
      </c>
      <c r="AG84" s="166">
        <f t="shared" si="32"/>
        <v>0</v>
      </c>
      <c r="AH84" s="2"/>
      <c r="AI84" s="2"/>
      <c r="AJ84" s="2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48" s="9" customFormat="1" x14ac:dyDescent="0.2">
      <c r="A85" s="5"/>
      <c r="B85" s="157"/>
      <c r="C85" s="158"/>
      <c r="D85" s="167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0"/>
      <c r="AE85" s="160"/>
      <c r="AF85" s="160"/>
      <c r="AG85" s="160"/>
      <c r="AH85" s="160"/>
      <c r="AI85" s="1"/>
      <c r="AJ85" s="1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s="9" customFormat="1" x14ac:dyDescent="0.2">
      <c r="A86" s="5"/>
      <c r="B86" s="2"/>
      <c r="C86" s="2"/>
      <c r="D86" s="2"/>
      <c r="E86" s="2"/>
      <c r="F86" s="2"/>
      <c r="G86" s="2"/>
      <c r="H86" s="2"/>
      <c r="I86" s="161"/>
      <c r="J86" s="161"/>
      <c r="K86" s="161"/>
      <c r="L86" s="161"/>
      <c r="M86" s="16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8"/>
      <c r="AD86" s="8"/>
      <c r="AE86" s="8"/>
      <c r="AF86" s="8"/>
      <c r="AG86" s="8"/>
      <c r="AH86" s="2"/>
      <c r="AI86" s="2"/>
      <c r="AJ86" s="2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s="9" customFormat="1" ht="13.5" thickBot="1" x14ac:dyDescent="0.25">
      <c r="A87" s="5"/>
      <c r="B87" s="140" t="s">
        <v>46</v>
      </c>
      <c r="C87" s="2"/>
      <c r="D87" s="2"/>
      <c r="E87" s="2"/>
      <c r="F87" s="2"/>
      <c r="G87" s="2"/>
      <c r="H87" s="2"/>
      <c r="I87" s="161"/>
      <c r="J87" s="161"/>
      <c r="K87" s="161"/>
      <c r="L87" s="161"/>
      <c r="M87" s="16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8"/>
      <c r="AD87" s="8"/>
      <c r="AE87" s="8"/>
      <c r="AF87" s="8"/>
      <c r="AG87" s="8"/>
      <c r="AH87" s="2"/>
      <c r="AI87" s="2"/>
      <c r="AJ87" s="2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s="9" customFormat="1" x14ac:dyDescent="0.2">
      <c r="A88" s="5"/>
      <c r="B88" s="162" t="s">
        <v>47</v>
      </c>
      <c r="C88" s="142" t="s">
        <v>31</v>
      </c>
      <c r="D88" s="144" t="s">
        <v>8</v>
      </c>
      <c r="E88" s="144" t="s">
        <v>9</v>
      </c>
      <c r="F88" s="144" t="s">
        <v>10</v>
      </c>
      <c r="G88" s="144" t="s">
        <v>11</v>
      </c>
      <c r="H88" s="145" t="s">
        <v>12</v>
      </c>
      <c r="I88" s="144" t="s">
        <v>8</v>
      </c>
      <c r="J88" s="144" t="s">
        <v>9</v>
      </c>
      <c r="K88" s="144" t="s">
        <v>10</v>
      </c>
      <c r="L88" s="144" t="s">
        <v>11</v>
      </c>
      <c r="M88" s="145" t="s">
        <v>12</v>
      </c>
      <c r="N88" s="144" t="s">
        <v>8</v>
      </c>
      <c r="O88" s="144" t="s">
        <v>9</v>
      </c>
      <c r="P88" s="144" t="s">
        <v>10</v>
      </c>
      <c r="Q88" s="144" t="s">
        <v>11</v>
      </c>
      <c r="R88" s="145" t="s">
        <v>12</v>
      </c>
      <c r="S88" s="144" t="s">
        <v>8</v>
      </c>
      <c r="T88" s="144" t="s">
        <v>9</v>
      </c>
      <c r="U88" s="144" t="s">
        <v>10</v>
      </c>
      <c r="V88" s="144" t="s">
        <v>11</v>
      </c>
      <c r="W88" s="145" t="s">
        <v>12</v>
      </c>
      <c r="X88" s="144" t="s">
        <v>8</v>
      </c>
      <c r="Y88" s="144" t="s">
        <v>9</v>
      </c>
      <c r="Z88" s="144" t="s">
        <v>10</v>
      </c>
      <c r="AA88" s="144" t="s">
        <v>11</v>
      </c>
      <c r="AB88" s="145" t="s">
        <v>12</v>
      </c>
      <c r="AC88" s="144" t="s">
        <v>8</v>
      </c>
      <c r="AD88" s="144" t="s">
        <v>9</v>
      </c>
      <c r="AE88" s="144" t="s">
        <v>10</v>
      </c>
      <c r="AF88" s="144" t="s">
        <v>11</v>
      </c>
      <c r="AG88" s="145" t="s">
        <v>12</v>
      </c>
      <c r="AH88" s="2"/>
      <c r="AI88" s="2"/>
      <c r="AJ88" s="2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s="9" customFormat="1" x14ac:dyDescent="0.2">
      <c r="A89" s="5"/>
      <c r="B89" s="164" t="s">
        <v>48</v>
      </c>
      <c r="C89" s="22" t="s">
        <v>14</v>
      </c>
      <c r="D89" s="149">
        <f>SUM(E89:H89)</f>
        <v>2.3467797676136826E-2</v>
      </c>
      <c r="E89" s="147">
        <v>0</v>
      </c>
      <c r="F89" s="147">
        <v>0</v>
      </c>
      <c r="G89" s="147">
        <v>0</v>
      </c>
      <c r="H89" s="148">
        <v>2.3467797676136826E-2</v>
      </c>
      <c r="I89" s="149">
        <f>SUM(J89:M89)</f>
        <v>2.3467797676136826E-2</v>
      </c>
      <c r="J89" s="147">
        <v>0</v>
      </c>
      <c r="K89" s="147">
        <v>0</v>
      </c>
      <c r="L89" s="147">
        <v>0</v>
      </c>
      <c r="M89" s="148">
        <v>2.3467797676136826E-2</v>
      </c>
      <c r="N89" s="149">
        <f>SUM(O89:R89)</f>
        <v>2.3467797676136826E-2</v>
      </c>
      <c r="O89" s="147">
        <v>0</v>
      </c>
      <c r="P89" s="147">
        <v>0</v>
      </c>
      <c r="Q89" s="147">
        <v>0</v>
      </c>
      <c r="R89" s="148">
        <v>2.3467797676136826E-2</v>
      </c>
      <c r="S89" s="149">
        <f>SUM(T89:W89)</f>
        <v>2.6999515990322926</v>
      </c>
      <c r="T89" s="147">
        <v>0</v>
      </c>
      <c r="U89" s="147">
        <v>0</v>
      </c>
      <c r="V89" s="147">
        <v>0.7</v>
      </c>
      <c r="W89" s="148">
        <v>1.9999515990322929</v>
      </c>
      <c r="X89" s="149">
        <f>SUM(Y89:AB89)</f>
        <v>2.6999515990322926</v>
      </c>
      <c r="Y89" s="147">
        <v>0</v>
      </c>
      <c r="Z89" s="147">
        <v>0</v>
      </c>
      <c r="AA89" s="147">
        <v>0.7</v>
      </c>
      <c r="AB89" s="148">
        <v>1.9999515990322929</v>
      </c>
      <c r="AC89" s="149">
        <f>SUM(AD89:AG89)</f>
        <v>2.6999515990322926</v>
      </c>
      <c r="AD89" s="147">
        <v>0</v>
      </c>
      <c r="AE89" s="147">
        <v>0</v>
      </c>
      <c r="AF89" s="147">
        <v>0.7</v>
      </c>
      <c r="AG89" s="148">
        <v>1.9999515990322929</v>
      </c>
      <c r="AH89" s="2"/>
      <c r="AI89" s="2"/>
      <c r="AJ89" s="2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s="9" customFormat="1" x14ac:dyDescent="0.2">
      <c r="A90" s="5"/>
      <c r="B90" s="164"/>
      <c r="C90" s="22" t="s">
        <v>14</v>
      </c>
      <c r="D90" s="149">
        <f>SUM(E90:H90)</f>
        <v>0</v>
      </c>
      <c r="E90" s="147"/>
      <c r="F90" s="147"/>
      <c r="G90" s="147"/>
      <c r="H90" s="148"/>
      <c r="I90" s="149">
        <f>SUM(J90:M90)</f>
        <v>0</v>
      </c>
      <c r="J90" s="147"/>
      <c r="K90" s="147"/>
      <c r="L90" s="147"/>
      <c r="M90" s="148"/>
      <c r="N90" s="149">
        <f>SUM(O90:R90)</f>
        <v>0</v>
      </c>
      <c r="O90" s="147"/>
      <c r="P90" s="147"/>
      <c r="Q90" s="147"/>
      <c r="R90" s="148"/>
      <c r="S90" s="149">
        <f>SUM(T90:W90)</f>
        <v>0</v>
      </c>
      <c r="T90" s="147"/>
      <c r="U90" s="147"/>
      <c r="V90" s="147"/>
      <c r="W90" s="148"/>
      <c r="X90" s="149">
        <f>SUM(Y90:AB90)</f>
        <v>0</v>
      </c>
      <c r="Y90" s="147"/>
      <c r="Z90" s="147"/>
      <c r="AA90" s="147"/>
      <c r="AB90" s="148"/>
      <c r="AC90" s="149">
        <f>SUM(AD90:AG90)</f>
        <v>0</v>
      </c>
      <c r="AD90" s="147"/>
      <c r="AE90" s="147"/>
      <c r="AF90" s="147"/>
      <c r="AG90" s="148"/>
      <c r="AH90" s="2"/>
      <c r="AI90" s="2"/>
      <c r="AJ90" s="2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s="9" customFormat="1" x14ac:dyDescent="0.2">
      <c r="A91" s="5"/>
      <c r="B91" s="164"/>
      <c r="C91" s="22" t="s">
        <v>14</v>
      </c>
      <c r="D91" s="149">
        <f>SUM(E91:H91)</f>
        <v>0</v>
      </c>
      <c r="E91" s="147"/>
      <c r="F91" s="147"/>
      <c r="G91" s="147"/>
      <c r="H91" s="148"/>
      <c r="I91" s="149">
        <f>SUM(J91:M91)</f>
        <v>0</v>
      </c>
      <c r="J91" s="147"/>
      <c r="K91" s="147"/>
      <c r="L91" s="147"/>
      <c r="M91" s="148"/>
      <c r="N91" s="149">
        <f>SUM(O91:R91)</f>
        <v>0</v>
      </c>
      <c r="O91" s="147"/>
      <c r="P91" s="147"/>
      <c r="Q91" s="147"/>
      <c r="R91" s="148"/>
      <c r="S91" s="149">
        <f>SUM(T91:W91)</f>
        <v>0</v>
      </c>
      <c r="T91" s="147"/>
      <c r="U91" s="147"/>
      <c r="V91" s="147"/>
      <c r="W91" s="148"/>
      <c r="X91" s="149">
        <f>SUM(Y91:AB91)</f>
        <v>0</v>
      </c>
      <c r="Y91" s="147"/>
      <c r="Z91" s="147"/>
      <c r="AA91" s="147"/>
      <c r="AB91" s="148"/>
      <c r="AC91" s="149">
        <f>SUM(AD91:AG91)</f>
        <v>0</v>
      </c>
      <c r="AD91" s="147"/>
      <c r="AE91" s="147"/>
      <c r="AF91" s="147"/>
      <c r="AG91" s="148"/>
      <c r="AH91" s="2"/>
      <c r="AI91" s="2"/>
      <c r="AJ91" s="2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s="152" customFormat="1" ht="21" customHeight="1" thickBot="1" x14ac:dyDescent="0.25">
      <c r="A92" s="150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9" customFormat="1" ht="13.5" thickBot="1" x14ac:dyDescent="0.25">
      <c r="A93" s="5"/>
      <c r="B93" s="153" t="s">
        <v>41</v>
      </c>
      <c r="C93" s="22" t="s">
        <v>14</v>
      </c>
      <c r="D93" s="169">
        <f>SUM(D89:D92)</f>
        <v>2.3467797676136826E-2</v>
      </c>
      <c r="E93" s="169">
        <f t="shared" ref="E93:AG93" si="33">SUM(E89:E92)</f>
        <v>0</v>
      </c>
      <c r="F93" s="169">
        <f t="shared" si="33"/>
        <v>0</v>
      </c>
      <c r="G93" s="169">
        <f t="shared" si="33"/>
        <v>0</v>
      </c>
      <c r="H93" s="169">
        <f t="shared" si="33"/>
        <v>2.3467797676136826E-2</v>
      </c>
      <c r="I93" s="169">
        <f t="shared" si="33"/>
        <v>2.3467797676136826E-2</v>
      </c>
      <c r="J93" s="169">
        <f t="shared" si="33"/>
        <v>0</v>
      </c>
      <c r="K93" s="169">
        <f t="shared" si="33"/>
        <v>0</v>
      </c>
      <c r="L93" s="169">
        <f t="shared" si="33"/>
        <v>0</v>
      </c>
      <c r="M93" s="169">
        <f t="shared" si="33"/>
        <v>2.3467797676136826E-2</v>
      </c>
      <c r="N93" s="169">
        <f t="shared" si="33"/>
        <v>2.3467797676136826E-2</v>
      </c>
      <c r="O93" s="169">
        <f t="shared" si="33"/>
        <v>0</v>
      </c>
      <c r="P93" s="169">
        <f t="shared" si="33"/>
        <v>0</v>
      </c>
      <c r="Q93" s="169">
        <f t="shared" si="33"/>
        <v>0</v>
      </c>
      <c r="R93" s="169">
        <f t="shared" si="33"/>
        <v>2.3467797676136826E-2</v>
      </c>
      <c r="S93" s="169">
        <f t="shared" si="33"/>
        <v>2.6999515990322926</v>
      </c>
      <c r="T93" s="169">
        <f t="shared" si="33"/>
        <v>0</v>
      </c>
      <c r="U93" s="169">
        <f t="shared" si="33"/>
        <v>0</v>
      </c>
      <c r="V93" s="169">
        <f t="shared" si="33"/>
        <v>0.7</v>
      </c>
      <c r="W93" s="169">
        <f t="shared" si="33"/>
        <v>1.9999515990322929</v>
      </c>
      <c r="X93" s="169">
        <f t="shared" si="33"/>
        <v>2.6999515990322926</v>
      </c>
      <c r="Y93" s="169">
        <f t="shared" si="33"/>
        <v>0</v>
      </c>
      <c r="Z93" s="169">
        <f t="shared" si="33"/>
        <v>0</v>
      </c>
      <c r="AA93" s="169">
        <f t="shared" si="33"/>
        <v>0.7</v>
      </c>
      <c r="AB93" s="169">
        <f t="shared" si="33"/>
        <v>1.9999515990322929</v>
      </c>
      <c r="AC93" s="169">
        <f t="shared" si="33"/>
        <v>2.6999515990322926</v>
      </c>
      <c r="AD93" s="169">
        <f t="shared" si="33"/>
        <v>0</v>
      </c>
      <c r="AE93" s="169">
        <f t="shared" si="33"/>
        <v>0</v>
      </c>
      <c r="AF93" s="169">
        <f t="shared" si="33"/>
        <v>0.7</v>
      </c>
      <c r="AG93" s="169">
        <f t="shared" si="33"/>
        <v>1.9999515990322929</v>
      </c>
      <c r="AH93" s="2"/>
      <c r="AI93" s="2"/>
      <c r="AJ93" s="2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s="9" customFormat="1" x14ac:dyDescent="0.2">
      <c r="A94" s="5"/>
      <c r="B94" s="15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2"/>
      <c r="AH94" s="2"/>
      <c r="AI94" s="2"/>
      <c r="AJ94" s="2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s="9" customFormat="1" x14ac:dyDescent="0.2">
      <c r="A95" s="5"/>
      <c r="B95" s="5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2"/>
      <c r="AI95" s="2"/>
      <c r="AJ95" s="2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s="9" customFormat="1" x14ac:dyDescent="0.2">
      <c r="A96" s="5"/>
      <c r="B96" s="5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</sheetData>
  <protectedRanges>
    <protectedRange sqref="B71:B73 B80:B82 B89" name="Диапазон1"/>
  </protectedRanges>
  <mergeCells count="33">
    <mergeCell ref="B3:B5"/>
    <mergeCell ref="C3:C5"/>
    <mergeCell ref="D3:R3"/>
    <mergeCell ref="S3:AG3"/>
    <mergeCell ref="D4:H4"/>
    <mergeCell ref="I4:M4"/>
    <mergeCell ref="N4:R4"/>
    <mergeCell ref="S4:W4"/>
    <mergeCell ref="X4:AB4"/>
    <mergeCell ref="AC4:AG4"/>
    <mergeCell ref="B16:B17"/>
    <mergeCell ref="B27:B29"/>
    <mergeCell ref="C27:C29"/>
    <mergeCell ref="D27:R27"/>
    <mergeCell ref="S27:AG27"/>
    <mergeCell ref="D28:H28"/>
    <mergeCell ref="I28:M28"/>
    <mergeCell ref="N28:R28"/>
    <mergeCell ref="S28:W28"/>
    <mergeCell ref="X28:AB28"/>
    <mergeCell ref="X52:AB52"/>
    <mergeCell ref="AC52:AG52"/>
    <mergeCell ref="B64:B65"/>
    <mergeCell ref="AC28:AG28"/>
    <mergeCell ref="B40:B41"/>
    <mergeCell ref="B51:B53"/>
    <mergeCell ref="C51:C53"/>
    <mergeCell ref="D51:R51"/>
    <mergeCell ref="S51:AG51"/>
    <mergeCell ref="D52:H52"/>
    <mergeCell ref="I52:M52"/>
    <mergeCell ref="N52:R52"/>
    <mergeCell ref="S52:W5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74 B83 B92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</vt:lpstr>
      <vt:lpstr>Баланс мощности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Веретенников Денис Сергеевич</cp:lastModifiedBy>
  <dcterms:created xsi:type="dcterms:W3CDTF">2020-07-24T13:31:41Z</dcterms:created>
  <dcterms:modified xsi:type="dcterms:W3CDTF">2020-07-27T13:16:08Z</dcterms:modified>
</cp:coreProperties>
</file>